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<sst xmlns="http://schemas.openxmlformats.org/spreadsheetml/2006/main" count="146" uniqueCount="93">
  <si>
    <t>OLD BASIC AS ON 01/01/06</t>
  </si>
  <si>
    <t>NEW GRADE PAY</t>
  </si>
  <si>
    <t>NEW TRANSPORT ALLOWANCE</t>
  </si>
  <si>
    <t>STAYING GOVT QUARTERS ( WRITE 1 IF YES, 2 IF NO)</t>
  </si>
  <si>
    <t>USING GOVT VEHCLE(WRITE 1 IF YES, 2 IF NO)</t>
  </si>
  <si>
    <t>JUL,06</t>
  </si>
  <si>
    <t>JAN,07</t>
  </si>
  <si>
    <t>JUL,07</t>
  </si>
  <si>
    <t>JAN,08</t>
  </si>
  <si>
    <t>DUES AS AS PER 6TH PAY COMMISSION</t>
  </si>
  <si>
    <t>FIXED</t>
  </si>
  <si>
    <t>TOTAL</t>
  </si>
  <si>
    <t>DA</t>
  </si>
  <si>
    <t>DP</t>
  </si>
  <si>
    <t>NEW</t>
  </si>
  <si>
    <t>OLD</t>
  </si>
  <si>
    <t>JAN,06</t>
  </si>
  <si>
    <t>ARREARS</t>
  </si>
  <si>
    <t>(FIXED+GP)</t>
  </si>
  <si>
    <t>FEB,06</t>
  </si>
  <si>
    <t>MAY,06</t>
  </si>
  <si>
    <t>MAR,06</t>
  </si>
  <si>
    <t>OCT.06</t>
  </si>
  <si>
    <t>NOV,06</t>
  </si>
  <si>
    <t>DEC,06</t>
  </si>
  <si>
    <t>OLD INCREMENT</t>
  </si>
  <si>
    <t>FEB,07</t>
  </si>
  <si>
    <t>MAR,07</t>
  </si>
  <si>
    <t>MAY,07</t>
  </si>
  <si>
    <t>OCT.07</t>
  </si>
  <si>
    <t>NOV,07</t>
  </si>
  <si>
    <t>DEC,07</t>
  </si>
  <si>
    <t>FEB,08</t>
  </si>
  <si>
    <t>MAR,08</t>
  </si>
  <si>
    <t>TOTAL DUES</t>
  </si>
  <si>
    <t>FIXED PAY</t>
  </si>
  <si>
    <t>FP+GP</t>
  </si>
  <si>
    <t>TA</t>
  </si>
  <si>
    <t>HRA</t>
  </si>
  <si>
    <t xml:space="preserve">        BASIC</t>
  </si>
  <si>
    <t>MAY,08</t>
  </si>
  <si>
    <t>PERIOD</t>
  </si>
  <si>
    <t xml:space="preserve"> G  PAY</t>
  </si>
  <si>
    <t>APR,06</t>
  </si>
  <si>
    <t>JUN,06</t>
  </si>
  <si>
    <t>AUG,06</t>
  </si>
  <si>
    <t>APR,07</t>
  </si>
  <si>
    <t>JUN,07</t>
  </si>
  <si>
    <t>AUG,07</t>
  </si>
  <si>
    <t>APR,08</t>
  </si>
  <si>
    <t>AUG,08</t>
  </si>
  <si>
    <t>G PAY</t>
  </si>
  <si>
    <t>SEP,06</t>
  </si>
  <si>
    <t>SEP,07</t>
  </si>
  <si>
    <t>JUN,08</t>
  </si>
  <si>
    <t>JUL,08</t>
  </si>
  <si>
    <t>GROSS</t>
  </si>
  <si>
    <t>HRA APPLICAPLE IN YOUR CITY( WRITE 30% IF A1 , 20% IF B, 15% IF C</t>
  </si>
  <si>
    <t xml:space="preserve"> MONTH OF OLD INCREMENT( WRITE IF JAN=1, FEB=2,…..DEC=12</t>
  </si>
  <si>
    <t>ANNUAL INCREMENT</t>
  </si>
  <si>
    <t>FILL THE BLACK CELLS ONLY</t>
  </si>
  <si>
    <t>DRAWN BEFORE 6TH PAY COMMISSION</t>
  </si>
  <si>
    <t xml:space="preserve">  PAY AS ON Sept., 2008</t>
  </si>
  <si>
    <t>Rs.</t>
  </si>
  <si>
    <t>TOTAL DRAWN   Rs.</t>
  </si>
  <si>
    <t>40 percent</t>
  </si>
  <si>
    <t>60 percent</t>
  </si>
  <si>
    <t xml:space="preserve"> RECOVERY TO BE MADE</t>
  </si>
  <si>
    <t>GPF ON OLD SCALE @ 6% OF OLD BASIC</t>
  </si>
  <si>
    <t>GPF ON NEW PAY @ 6% OF BP+GP</t>
  </si>
  <si>
    <t>YEAR          &amp;   MONTH</t>
  </si>
  <si>
    <t xml:space="preserve">NEW BASIC &amp;       GRADE PAY    </t>
  </si>
  <si>
    <t>OLD BASIC      +  D PAY</t>
  </si>
  <si>
    <t>REMARKS, IF ANY</t>
  </si>
  <si>
    <t>ARREARS BEFORE GPF DEDUCTION</t>
  </si>
  <si>
    <t>GPF RECOVERY AS PER SIXTH PAY COMMISSION NEW SALARY</t>
  </si>
  <si>
    <t>2005-06</t>
  </si>
  <si>
    <t>2006-07</t>
  </si>
  <si>
    <t>2007-08</t>
  </si>
  <si>
    <t>2008-09</t>
  </si>
  <si>
    <t>GPF</t>
  </si>
  <si>
    <t xml:space="preserve"> ARREARS</t>
  </si>
  <si>
    <t>FIXATION OF SALARY &amp; ARREARS OF 6TH PAY COMMMISSION OF Shri./Smt.</t>
  </si>
  <si>
    <t>FILL UP THE YELLOW CELLS ONLY</t>
  </si>
  <si>
    <t xml:space="preserve">    FOR INCOME TAX PURPOSE</t>
  </si>
  <si>
    <t xml:space="preserve"> AY(2006-07)</t>
  </si>
  <si>
    <t>AY(2007-08)</t>
  </si>
  <si>
    <t>AY(2008-09)</t>
  </si>
  <si>
    <t>AY(2009-10)</t>
  </si>
  <si>
    <t xml:space="preserve">                        Rs.</t>
  </si>
  <si>
    <t>VOLUN-TARY GPF,IF ANY</t>
  </si>
  <si>
    <t>RECOVERY SO FAR MADE AS PER BPR</t>
  </si>
  <si>
    <t>ARREARS AFTER GPF RECOVERY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</si>
</sst>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7" fillId="24" borderId="1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7" fillId="24" borderId="0" xfId="0" applyFont="1" applyFill="1" applyBorder="1" applyAlignment="1" applyProtection="1">
      <alignment/>
      <protection hidden="1"/>
    </xf>
    <xf numFmtId="1" fontId="5" fillId="24" borderId="10" xfId="0" applyNumberFormat="1" applyFont="1" applyFill="1" applyBorder="1" applyAlignment="1" applyProtection="1">
      <alignment/>
      <protection hidden="1"/>
    </xf>
    <xf numFmtId="0" fontId="4" fillId="24" borderId="10" xfId="0" applyFont="1" applyFill="1" applyBorder="1" applyAlignment="1" applyProtection="1">
      <alignment/>
      <protection hidden="1"/>
    </xf>
    <xf numFmtId="0" fontId="7" fillId="24" borderId="11" xfId="0" applyFont="1" applyFill="1" applyBorder="1" applyAlignment="1" applyProtection="1">
      <alignment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4" fillId="24" borderId="11" xfId="0" applyFont="1" applyFill="1" applyBorder="1" applyAlignment="1" applyProtection="1">
      <alignment/>
      <protection hidden="1"/>
    </xf>
    <xf numFmtId="0" fontId="9" fillId="24" borderId="12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1" fontId="9" fillId="24" borderId="13" xfId="0" applyNumberFormat="1" applyFont="1" applyFill="1" applyBorder="1" applyAlignment="1" applyProtection="1">
      <alignment/>
      <protection hidden="1"/>
    </xf>
    <xf numFmtId="0" fontId="10" fillId="24" borderId="13" xfId="0" applyFont="1" applyFill="1" applyBorder="1" applyAlignment="1" applyProtection="1">
      <alignment horizontal="left"/>
      <protection hidden="1"/>
    </xf>
    <xf numFmtId="0" fontId="10" fillId="24" borderId="13" xfId="0" applyFont="1" applyFill="1" applyBorder="1" applyAlignment="1" applyProtection="1">
      <alignment horizontal="right"/>
      <protection hidden="1"/>
    </xf>
    <xf numFmtId="0" fontId="10" fillId="24" borderId="13" xfId="0" applyFont="1" applyFill="1" applyBorder="1" applyAlignment="1" applyProtection="1">
      <alignment/>
      <protection hidden="1"/>
    </xf>
    <xf numFmtId="0" fontId="11" fillId="24" borderId="14" xfId="0" applyFont="1" applyFill="1" applyBorder="1" applyAlignment="1" applyProtection="1">
      <alignment/>
      <protection hidden="1"/>
    </xf>
    <xf numFmtId="0" fontId="10" fillId="24" borderId="15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/>
      <protection hidden="1"/>
    </xf>
    <xf numFmtId="9" fontId="9" fillId="24" borderId="13" xfId="0" applyNumberFormat="1" applyFont="1" applyFill="1" applyBorder="1" applyAlignment="1" applyProtection="1">
      <alignment/>
      <protection hidden="1"/>
    </xf>
    <xf numFmtId="9" fontId="9" fillId="24" borderId="16" xfId="0" applyNumberFormat="1" applyFont="1" applyFill="1" applyBorder="1" applyAlignment="1" applyProtection="1">
      <alignment/>
      <protection hidden="1"/>
    </xf>
    <xf numFmtId="0" fontId="9" fillId="24" borderId="16" xfId="0" applyFont="1" applyFill="1" applyBorder="1" applyAlignment="1" applyProtection="1">
      <alignment horizontal="right"/>
      <protection hidden="1"/>
    </xf>
    <xf numFmtId="0" fontId="9" fillId="24" borderId="15" xfId="0" applyFont="1" applyFill="1" applyBorder="1" applyAlignment="1" applyProtection="1">
      <alignment/>
      <protection hidden="1"/>
    </xf>
    <xf numFmtId="0" fontId="10" fillId="24" borderId="17" xfId="0" applyFont="1" applyFill="1" applyBorder="1" applyAlignment="1" applyProtection="1">
      <alignment horizontal="center"/>
      <protection hidden="1"/>
    </xf>
    <xf numFmtId="1" fontId="13" fillId="24" borderId="18" xfId="0" applyNumberFormat="1" applyFont="1" applyFill="1" applyBorder="1" applyAlignment="1" applyProtection="1">
      <alignment/>
      <protection hidden="1"/>
    </xf>
    <xf numFmtId="0" fontId="10" fillId="24" borderId="17" xfId="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right"/>
      <protection hidden="1"/>
    </xf>
    <xf numFmtId="2" fontId="10" fillId="24" borderId="17" xfId="0" applyNumberFormat="1" applyFont="1" applyFill="1" applyBorder="1" applyAlignment="1" applyProtection="1">
      <alignment horizontal="center"/>
      <protection hidden="1"/>
    </xf>
    <xf numFmtId="2" fontId="10" fillId="24" borderId="17" xfId="0" applyNumberFormat="1" applyFont="1" applyFill="1" applyBorder="1" applyAlignment="1" applyProtection="1">
      <alignment horizontal="right"/>
      <protection hidden="1"/>
    </xf>
    <xf numFmtId="0" fontId="10" fillId="24" borderId="19" xfId="0" applyFont="1" applyFill="1" applyBorder="1" applyAlignment="1" applyProtection="1">
      <alignment horizontal="center"/>
      <protection hidden="1"/>
    </xf>
    <xf numFmtId="1" fontId="9" fillId="24" borderId="20" xfId="0" applyNumberFormat="1" applyFont="1" applyFill="1" applyBorder="1" applyAlignment="1" applyProtection="1">
      <alignment/>
      <protection hidden="1"/>
    </xf>
    <xf numFmtId="1" fontId="9" fillId="24" borderId="21" xfId="0" applyNumberFormat="1" applyFont="1" applyFill="1" applyBorder="1" applyAlignment="1" applyProtection="1">
      <alignment/>
      <protection hidden="1"/>
    </xf>
    <xf numFmtId="0" fontId="9" fillId="24" borderId="21" xfId="0" applyFont="1" applyFill="1" applyBorder="1" applyAlignment="1" applyProtection="1">
      <alignment/>
      <protection hidden="1"/>
    </xf>
    <xf numFmtId="0" fontId="10" fillId="24" borderId="22" xfId="0" applyFont="1" applyFill="1" applyBorder="1" applyAlignment="1" applyProtection="1">
      <alignment horizontal="center"/>
      <protection hidden="1"/>
    </xf>
    <xf numFmtId="1" fontId="9" fillId="24" borderId="23" xfId="0" applyNumberFormat="1" applyFont="1" applyFill="1" applyBorder="1" applyAlignment="1" applyProtection="1">
      <alignment/>
      <protection hidden="1"/>
    </xf>
    <xf numFmtId="9" fontId="1" fillId="0" borderId="13" xfId="0" applyNumberFormat="1" applyFont="1" applyBorder="1" applyAlignment="1">
      <alignment horizontal="center"/>
    </xf>
    <xf numFmtId="9" fontId="9" fillId="24" borderId="13" xfId="0" applyNumberFormat="1" applyFont="1" applyFill="1" applyBorder="1" applyAlignment="1" applyProtection="1">
      <alignment horizontal="center"/>
      <protection hidden="1"/>
    </xf>
    <xf numFmtId="0" fontId="14" fillId="0" borderId="13" xfId="0" applyFont="1" applyBorder="1" applyAlignment="1">
      <alignment shrinkToFit="1"/>
    </xf>
    <xf numFmtId="1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0" fontId="9" fillId="24" borderId="0" xfId="0" applyFont="1" applyFill="1" applyBorder="1" applyAlignment="1" applyProtection="1">
      <alignment horizontal="right"/>
      <protection hidden="1"/>
    </xf>
    <xf numFmtId="1" fontId="9" fillId="24" borderId="16" xfId="0" applyNumberFormat="1" applyFont="1" applyFill="1" applyBorder="1" applyAlignment="1" applyProtection="1">
      <alignment/>
      <protection hidden="1"/>
    </xf>
    <xf numFmtId="0" fontId="7" fillId="24" borderId="13" xfId="0" applyFont="1" applyFill="1" applyBorder="1" applyAlignment="1" applyProtection="1">
      <alignment/>
      <protection hidden="1"/>
    </xf>
    <xf numFmtId="1" fontId="0" fillId="0" borderId="0" xfId="0" applyNumberFormat="1" applyAlignment="1">
      <alignment/>
    </xf>
    <xf numFmtId="9" fontId="10" fillId="24" borderId="16" xfId="0" applyNumberFormat="1" applyFont="1" applyFill="1" applyBorder="1" applyAlignment="1" applyProtection="1">
      <alignment horizontal="center"/>
      <protection hidden="1"/>
    </xf>
    <xf numFmtId="2" fontId="9" fillId="24" borderId="16" xfId="0" applyNumberFormat="1" applyFont="1" applyFill="1" applyBorder="1" applyAlignment="1" applyProtection="1">
      <alignment/>
      <protection hidden="1"/>
    </xf>
    <xf numFmtId="0" fontId="0" fillId="0" borderId="24" xfId="0" applyBorder="1" applyAlignment="1">
      <alignment/>
    </xf>
    <xf numFmtId="9" fontId="14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1" xfId="0" applyBorder="1" applyAlignment="1">
      <alignment/>
    </xf>
    <xf numFmtId="0" fontId="9" fillId="24" borderId="26" xfId="0" applyFont="1" applyFill="1" applyBorder="1" applyAlignment="1" applyProtection="1">
      <alignment/>
      <protection hidden="1"/>
    </xf>
    <xf numFmtId="9" fontId="9" fillId="24" borderId="21" xfId="0" applyNumberFormat="1" applyFont="1" applyFill="1" applyBorder="1" applyAlignment="1" applyProtection="1">
      <alignment/>
      <protection hidden="1"/>
    </xf>
    <xf numFmtId="9" fontId="9" fillId="24" borderId="23" xfId="0" applyNumberFormat="1" applyFont="1" applyFill="1" applyBorder="1" applyAlignment="1" applyProtection="1">
      <alignment/>
      <protection hidden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1" fontId="1" fillId="0" borderId="13" xfId="0" applyNumberFormat="1" applyFont="1" applyBorder="1" applyAlignment="1">
      <alignment/>
    </xf>
    <xf numFmtId="1" fontId="9" fillId="24" borderId="17" xfId="0" applyNumberFormat="1" applyFont="1" applyFill="1" applyBorder="1" applyAlignment="1" applyProtection="1">
      <alignment/>
      <protection hidden="1"/>
    </xf>
    <xf numFmtId="1" fontId="9" fillId="24" borderId="22" xfId="0" applyNumberFormat="1" applyFont="1" applyFill="1" applyBorder="1" applyAlignment="1" applyProtection="1">
      <alignment/>
      <protection hidden="1"/>
    </xf>
    <xf numFmtId="0" fontId="7" fillId="24" borderId="17" xfId="0" applyFont="1" applyFill="1" applyBorder="1" applyAlignment="1" applyProtection="1">
      <alignment/>
      <protection hidden="1"/>
    </xf>
    <xf numFmtId="1" fontId="8" fillId="24" borderId="17" xfId="0" applyNumberFormat="1" applyFont="1" applyFill="1" applyBorder="1" applyAlignment="1" applyProtection="1">
      <alignment/>
      <protection hidden="1"/>
    </xf>
    <xf numFmtId="0" fontId="10" fillId="24" borderId="13" xfId="0" applyFont="1" applyFill="1" applyBorder="1" applyAlignment="1" applyProtection="1">
      <alignment/>
      <protection hidden="1"/>
    </xf>
    <xf numFmtId="0" fontId="9" fillId="24" borderId="13" xfId="0" applyFont="1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1" fontId="9" fillId="24" borderId="28" xfId="0" applyNumberFormat="1" applyFont="1" applyFill="1" applyBorder="1" applyAlignment="1" applyProtection="1">
      <alignment/>
      <protection hidden="1"/>
    </xf>
    <xf numFmtId="1" fontId="9" fillId="24" borderId="15" xfId="0" applyNumberFormat="1" applyFont="1" applyFill="1" applyBorder="1" applyAlignment="1" applyProtection="1">
      <alignment/>
      <protection hidden="1"/>
    </xf>
    <xf numFmtId="0" fontId="10" fillId="24" borderId="19" xfId="0" applyFont="1" applyFill="1" applyBorder="1" applyAlignment="1" applyProtection="1">
      <alignment/>
      <protection hidden="1"/>
    </xf>
    <xf numFmtId="0" fontId="10" fillId="24" borderId="29" xfId="0" applyFont="1" applyFill="1" applyBorder="1" applyAlignment="1" applyProtection="1">
      <alignment/>
      <protection hidden="1"/>
    </xf>
    <xf numFmtId="0" fontId="10" fillId="24" borderId="20" xfId="0" applyFont="1" applyFill="1" applyBorder="1" applyAlignment="1" applyProtection="1">
      <alignment/>
      <protection hidden="1"/>
    </xf>
    <xf numFmtId="1" fontId="9" fillId="24" borderId="30" xfId="0" applyNumberFormat="1" applyFont="1" applyFill="1" applyBorder="1" applyAlignment="1" applyProtection="1">
      <alignment/>
      <protection hidden="1"/>
    </xf>
    <xf numFmtId="1" fontId="8" fillId="24" borderId="30" xfId="0" applyNumberFormat="1" applyFont="1" applyFill="1" applyBorder="1" applyAlignment="1" applyProtection="1">
      <alignment/>
      <protection hidden="1"/>
    </xf>
    <xf numFmtId="1" fontId="9" fillId="24" borderId="31" xfId="0" applyNumberFormat="1" applyFont="1" applyFill="1" applyBorder="1" applyAlignment="1" applyProtection="1">
      <alignment/>
      <protection hidden="1"/>
    </xf>
    <xf numFmtId="2" fontId="9" fillId="24" borderId="22" xfId="0" applyNumberFormat="1" applyFont="1" applyFill="1" applyBorder="1" applyAlignment="1" applyProtection="1">
      <alignment/>
      <protection hidden="1"/>
    </xf>
    <xf numFmtId="0" fontId="10" fillId="24" borderId="13" xfId="0" applyFont="1" applyFill="1" applyBorder="1" applyAlignment="1" applyProtection="1">
      <alignment horizontal="center"/>
      <protection hidden="1"/>
    </xf>
    <xf numFmtId="14" fontId="9" fillId="24" borderId="13" xfId="0" applyNumberFormat="1" applyFont="1" applyFill="1" applyBorder="1" applyAlignment="1" applyProtection="1">
      <alignment/>
      <protection hidden="1"/>
    </xf>
    <xf numFmtId="1" fontId="9" fillId="24" borderId="13" xfId="0" applyNumberFormat="1" applyFont="1" applyFill="1" applyBorder="1" applyAlignment="1" applyProtection="1">
      <alignment/>
      <protection hidden="1"/>
    </xf>
    <xf numFmtId="0" fontId="14" fillId="0" borderId="13" xfId="0" applyFont="1" applyBorder="1" applyAlignment="1">
      <alignment horizontal="center"/>
    </xf>
    <xf numFmtId="0" fontId="32" fillId="24" borderId="13" xfId="0" applyFont="1" applyFill="1" applyBorder="1" applyAlignment="1" applyProtection="1">
      <alignment/>
      <protection hidden="1"/>
    </xf>
    <xf numFmtId="0" fontId="10" fillId="24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6" fillId="25" borderId="13" xfId="0" applyFont="1" applyFill="1" applyBorder="1" applyAlignment="1" applyProtection="1">
      <alignment/>
      <protection locked="0"/>
    </xf>
    <xf numFmtId="9" fontId="6" fillId="25" borderId="13" xfId="0" applyNumberFormat="1" applyFont="1" applyFill="1" applyBorder="1" applyAlignment="1" applyProtection="1">
      <alignment/>
      <protection locked="0"/>
    </xf>
    <xf numFmtId="0" fontId="6" fillId="25" borderId="18" xfId="0" applyFont="1" applyFill="1" applyBorder="1" applyAlignment="1" applyProtection="1">
      <alignment/>
      <protection locked="0"/>
    </xf>
    <xf numFmtId="0" fontId="0" fillId="0" borderId="15" xfId="0" applyBorder="1" applyAlignment="1">
      <alignment horizontal="left"/>
    </xf>
    <xf numFmtId="10" fontId="9" fillId="24" borderId="16" xfId="0" applyNumberFormat="1" applyFont="1" applyFill="1" applyBorder="1" applyAlignment="1" applyProtection="1">
      <alignment/>
      <protection hidden="1"/>
    </xf>
    <xf numFmtId="0" fontId="10" fillId="24" borderId="32" xfId="0" applyFont="1" applyFill="1" applyBorder="1" applyAlignment="1" applyProtection="1">
      <alignment horizontal="center"/>
      <protection hidden="1"/>
    </xf>
    <xf numFmtId="0" fontId="6" fillId="25" borderId="17" xfId="0" applyFont="1" applyFill="1" applyBorder="1" applyAlignment="1" applyProtection="1">
      <alignment/>
      <protection locked="0"/>
    </xf>
    <xf numFmtId="0" fontId="34" fillId="0" borderId="33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1" fillId="0" borderId="36" xfId="0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/>
      <protection hidden="1"/>
    </xf>
    <xf numFmtId="1" fontId="1" fillId="0" borderId="37" xfId="0" applyNumberFormat="1" applyFont="1" applyBorder="1" applyAlignment="1" applyProtection="1">
      <alignment/>
      <protection hidden="1"/>
    </xf>
    <xf numFmtId="1" fontId="1" fillId="0" borderId="38" xfId="0" applyNumberFormat="1" applyFont="1" applyBorder="1" applyAlignment="1" applyProtection="1">
      <alignment/>
      <protection hidden="1"/>
    </xf>
    <xf numFmtId="0" fontId="1" fillId="0" borderId="39" xfId="0" applyFont="1" applyBorder="1" applyAlignment="1" applyProtection="1">
      <alignment/>
      <protection hidden="1"/>
    </xf>
    <xf numFmtId="1" fontId="1" fillId="0" borderId="39" xfId="0" applyNumberFormat="1" applyFont="1" applyBorder="1" applyAlignment="1" applyProtection="1">
      <alignment/>
      <protection hidden="1"/>
    </xf>
    <xf numFmtId="1" fontId="1" fillId="0" borderId="40" xfId="0" applyNumberFormat="1" applyFont="1" applyBorder="1" applyAlignment="1" applyProtection="1">
      <alignment/>
      <protection hidden="1"/>
    </xf>
    <xf numFmtId="1" fontId="1" fillId="0" borderId="41" xfId="0" applyNumberFormat="1" applyFont="1" applyBorder="1" applyAlignment="1" applyProtection="1">
      <alignment/>
      <protection hidden="1"/>
    </xf>
    <xf numFmtId="0" fontId="1" fillId="0" borderId="42" xfId="0" applyFont="1" applyBorder="1" applyAlignment="1" applyProtection="1">
      <alignment/>
      <protection hidden="1"/>
    </xf>
    <xf numFmtId="1" fontId="1" fillId="0" borderId="42" xfId="0" applyNumberFormat="1" applyFont="1" applyBorder="1" applyAlignment="1" applyProtection="1">
      <alignment/>
      <protection hidden="1"/>
    </xf>
    <xf numFmtId="1" fontId="1" fillId="0" borderId="32" xfId="0" applyNumberFormat="1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1" fontId="9" fillId="22" borderId="17" xfId="0" applyNumberFormat="1" applyFont="1" applyFill="1" applyBorder="1" applyAlignment="1" applyProtection="1">
      <alignment/>
      <protection locked="0"/>
    </xf>
    <xf numFmtId="0" fontId="9" fillId="22" borderId="13" xfId="0" applyFont="1" applyFill="1" applyBorder="1" applyAlignment="1" applyProtection="1">
      <alignment horizontal="right"/>
      <protection locked="0"/>
    </xf>
    <xf numFmtId="1" fontId="9" fillId="22" borderId="31" xfId="0" applyNumberFormat="1" applyFont="1" applyFill="1" applyBorder="1" applyAlignment="1" applyProtection="1">
      <alignment/>
      <protection locked="0"/>
    </xf>
    <xf numFmtId="1" fontId="33" fillId="22" borderId="38" xfId="0" applyNumberFormat="1" applyFont="1" applyFill="1" applyBorder="1" applyAlignment="1" applyProtection="1">
      <alignment/>
      <protection locked="0"/>
    </xf>
    <xf numFmtId="1" fontId="9" fillId="22" borderId="40" xfId="0" applyNumberFormat="1" applyFont="1" applyFill="1" applyBorder="1" applyAlignment="1" applyProtection="1">
      <alignment/>
      <protection locked="0"/>
    </xf>
    <xf numFmtId="1" fontId="9" fillId="22" borderId="44" xfId="0" applyNumberFormat="1" applyFont="1" applyFill="1" applyBorder="1" applyAlignment="1" applyProtection="1">
      <alignment/>
      <protection locked="0"/>
    </xf>
    <xf numFmtId="1" fontId="0" fillId="0" borderId="36" xfId="0" applyNumberFormat="1" applyBorder="1" applyAlignment="1" applyProtection="1">
      <alignment/>
      <protection hidden="1"/>
    </xf>
    <xf numFmtId="0" fontId="6" fillId="25" borderId="34" xfId="0" applyFont="1" applyFill="1" applyBorder="1" applyAlignment="1" applyProtection="1">
      <alignment horizontal="center"/>
      <protection locked="0"/>
    </xf>
    <xf numFmtId="0" fontId="4" fillId="25" borderId="34" xfId="0" applyFont="1" applyFill="1" applyBorder="1" applyAlignment="1" applyProtection="1">
      <alignment/>
      <protection locked="0"/>
    </xf>
    <xf numFmtId="0" fontId="6" fillId="25" borderId="33" xfId="0" applyFont="1" applyFill="1" applyBorder="1" applyAlignment="1" applyProtection="1">
      <alignment horizontal="center"/>
      <protection locked="0"/>
    </xf>
    <xf numFmtId="0" fontId="4" fillId="25" borderId="35" xfId="0" applyFont="1" applyFill="1" applyBorder="1" applyAlignment="1" applyProtection="1">
      <alignment/>
      <protection locked="0"/>
    </xf>
    <xf numFmtId="0" fontId="10" fillId="24" borderId="29" xfId="0" applyFont="1" applyFill="1" applyBorder="1" applyAlignment="1" applyProtection="1">
      <alignment/>
      <protection hidden="1"/>
    </xf>
    <xf numFmtId="0" fontId="10" fillId="24" borderId="13" xfId="0" applyFont="1" applyFill="1" applyBorder="1" applyAlignment="1" applyProtection="1">
      <alignment/>
      <protection hidden="1"/>
    </xf>
    <xf numFmtId="0" fontId="12" fillId="26" borderId="45" xfId="0" applyFont="1" applyFill="1" applyBorder="1" applyAlignment="1" applyProtection="1">
      <alignment horizontal="center"/>
      <protection hidden="1"/>
    </xf>
    <xf numFmtId="0" fontId="12" fillId="26" borderId="43" xfId="0" applyFont="1" applyFill="1" applyBorder="1" applyAlignment="1" applyProtection="1">
      <alignment horizontal="center"/>
      <protection hidden="1"/>
    </xf>
    <xf numFmtId="0" fontId="12" fillId="26" borderId="27" xfId="0" applyFont="1" applyFill="1" applyBorder="1" applyAlignment="1" applyProtection="1">
      <alignment horizontal="center"/>
      <protection hidden="1"/>
    </xf>
    <xf numFmtId="0" fontId="10" fillId="24" borderId="46" xfId="0" applyFont="1" applyFill="1" applyBorder="1" applyAlignment="1" applyProtection="1">
      <alignment/>
      <protection hidden="1"/>
    </xf>
    <xf numFmtId="0" fontId="10" fillId="24" borderId="47" xfId="0" applyFont="1" applyFill="1" applyBorder="1" applyAlignment="1" applyProtection="1">
      <alignment/>
      <protection hidden="1"/>
    </xf>
    <xf numFmtId="0" fontId="10" fillId="24" borderId="28" xfId="0" applyFont="1" applyFill="1" applyBorder="1" applyAlignment="1" applyProtection="1">
      <alignment/>
      <protection hidden="1"/>
    </xf>
    <xf numFmtId="0" fontId="10" fillId="24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24" borderId="48" xfId="0" applyFont="1" applyFill="1" applyBorder="1" applyAlignment="1" applyProtection="1">
      <alignment horizontal="center"/>
      <protection hidden="1"/>
    </xf>
    <xf numFmtId="2" fontId="9" fillId="24" borderId="0" xfId="0" applyNumberFormat="1" applyFont="1" applyFill="1" applyBorder="1" applyAlignment="1" applyProtection="1">
      <alignment horizontal="center"/>
      <protection hidden="1"/>
    </xf>
    <xf numFmtId="0" fontId="9" fillId="24" borderId="49" xfId="0" applyFont="1" applyFill="1" applyBorder="1" applyAlignment="1" applyProtection="1">
      <alignment horizontal="right"/>
      <protection hidden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0" fillId="24" borderId="45" xfId="0" applyFont="1" applyFill="1" applyBorder="1" applyAlignment="1" applyProtection="1">
      <alignment horizontal="center"/>
      <protection hidden="1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24" borderId="29" xfId="0" applyFont="1" applyFill="1" applyBorder="1" applyAlignment="1" applyProtection="1">
      <alignment/>
      <protection hidden="1"/>
    </xf>
    <xf numFmtId="0" fontId="8" fillId="24" borderId="13" xfId="0" applyFont="1" applyFill="1" applyBorder="1" applyAlignment="1" applyProtection="1">
      <alignment/>
      <protection hidden="1"/>
    </xf>
    <xf numFmtId="0" fontId="9" fillId="24" borderId="13" xfId="0" applyFont="1" applyFill="1" applyBorder="1" applyAlignment="1" applyProtection="1">
      <alignment/>
      <protection hidden="1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24" borderId="52" xfId="0" applyFont="1" applyFill="1" applyBorder="1" applyAlignment="1" applyProtection="1">
      <alignment horizontal="center"/>
      <protection hidden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10" fillId="24" borderId="13" xfId="0" applyFont="1" applyFill="1" applyBorder="1" applyAlignment="1" applyProtection="1">
      <alignment horizontal="center"/>
      <protection hidden="1"/>
    </xf>
    <xf numFmtId="0" fontId="9" fillId="24" borderId="18" xfId="0" applyFont="1" applyFill="1" applyBorder="1" applyAlignment="1" applyProtection="1">
      <alignment horizontal="right"/>
      <protection hidden="1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24" borderId="12" xfId="0" applyFont="1" applyFill="1" applyBorder="1" applyAlignment="1" applyProtection="1">
      <alignment/>
      <protection hidden="1"/>
    </xf>
    <xf numFmtId="0" fontId="10" fillId="24" borderId="0" xfId="0" applyFont="1" applyFill="1" applyBorder="1" applyAlignment="1" applyProtection="1">
      <alignment/>
      <protection hidden="1"/>
    </xf>
    <xf numFmtId="0" fontId="14" fillId="0" borderId="33" xfId="0" applyFont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34" fillId="0" borderId="33" xfId="0" applyFont="1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center" wrapText="1"/>
      <protection hidden="1"/>
    </xf>
    <xf numFmtId="0" fontId="0" fillId="0" borderId="35" xfId="0" applyBorder="1" applyAlignment="1" applyProtection="1">
      <alignment horizontal="center" wrapText="1"/>
      <protection hidden="1"/>
    </xf>
    <xf numFmtId="0" fontId="9" fillId="24" borderId="24" xfId="0" applyFont="1" applyFill="1" applyBorder="1" applyAlignment="1" applyProtection="1">
      <alignment horizontal="center" wrapText="1"/>
      <protection hidden="1"/>
    </xf>
    <xf numFmtId="0" fontId="9" fillId="24" borderId="25" xfId="0" applyFont="1" applyFill="1" applyBorder="1" applyAlignment="1" applyProtection="1">
      <alignment horizontal="center" wrapText="1"/>
      <protection hidden="1"/>
    </xf>
    <xf numFmtId="0" fontId="9" fillId="24" borderId="55" xfId="0" applyFont="1" applyFill="1" applyBorder="1" applyAlignment="1" applyProtection="1">
      <alignment horizontal="center" wrapText="1"/>
      <protection hidden="1"/>
    </xf>
    <xf numFmtId="0" fontId="10" fillId="24" borderId="24" xfId="0" applyFont="1" applyFill="1" applyBorder="1" applyAlignment="1" applyProtection="1">
      <alignment horizontal="center" wrapText="1"/>
      <protection hidden="1"/>
    </xf>
    <xf numFmtId="0" fontId="10" fillId="24" borderId="25" xfId="0" applyFont="1" applyFill="1" applyBorder="1" applyAlignment="1" applyProtection="1">
      <alignment horizontal="center" wrapText="1"/>
      <protection hidden="1"/>
    </xf>
    <xf numFmtId="0" fontId="10" fillId="24" borderId="55" xfId="0" applyFont="1" applyFill="1" applyBorder="1" applyAlignment="1" applyProtection="1">
      <alignment horizontal="center" wrapText="1"/>
      <protection hidden="1"/>
    </xf>
    <xf numFmtId="0" fontId="14" fillId="22" borderId="24" xfId="0" applyFont="1" applyFill="1" applyBorder="1" applyAlignment="1" applyProtection="1">
      <alignment horizontal="center" wrapText="1" shrinkToFit="1"/>
      <protection hidden="1"/>
    </xf>
    <xf numFmtId="0" fontId="14" fillId="22" borderId="25" xfId="0" applyFont="1" applyFill="1" applyBorder="1" applyAlignment="1" applyProtection="1">
      <alignment horizontal="center" wrapText="1" shrinkToFit="1"/>
      <protection hidden="1"/>
    </xf>
    <xf numFmtId="0" fontId="14" fillId="22" borderId="55" xfId="0" applyFont="1" applyFill="1" applyBorder="1" applyAlignment="1" applyProtection="1">
      <alignment horizontal="center" wrapText="1" shrinkToFit="1"/>
      <protection hidden="1"/>
    </xf>
    <xf numFmtId="0" fontId="14" fillId="22" borderId="24" xfId="0" applyFont="1" applyFill="1" applyBorder="1" applyAlignment="1" applyProtection="1">
      <alignment horizontal="center" wrapText="1"/>
      <protection hidden="1"/>
    </xf>
    <xf numFmtId="0" fontId="14" fillId="22" borderId="25" xfId="0" applyFont="1" applyFill="1" applyBorder="1" applyAlignment="1" applyProtection="1">
      <alignment horizontal="center" wrapText="1"/>
      <protection hidden="1"/>
    </xf>
    <xf numFmtId="0" fontId="14" fillId="22" borderId="56" xfId="0" applyFont="1" applyFill="1" applyBorder="1" applyAlignment="1" applyProtection="1">
      <alignment horizontal="center" wrapText="1"/>
      <protection hidden="1"/>
    </xf>
    <xf numFmtId="0" fontId="8" fillId="24" borderId="24" xfId="0" applyFont="1" applyFill="1" applyBorder="1" applyAlignment="1" applyProtection="1">
      <alignment horizontal="center" wrapText="1"/>
      <protection hidden="1"/>
    </xf>
    <xf numFmtId="0" fontId="8" fillId="24" borderId="25" xfId="0" applyFont="1" applyFill="1" applyBorder="1" applyAlignment="1" applyProtection="1">
      <alignment horizontal="center" wrapText="1"/>
      <protection hidden="1"/>
    </xf>
    <xf numFmtId="0" fontId="8" fillId="24" borderId="55" xfId="0" applyFont="1" applyFill="1" applyBorder="1" applyAlignment="1" applyProtection="1">
      <alignment horizontal="center" wrapText="1"/>
      <protection hidden="1"/>
    </xf>
    <xf numFmtId="0" fontId="14" fillId="22" borderId="34" xfId="0" applyFont="1" applyFill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4" fillId="22" borderId="55" xfId="0" applyFont="1" applyFill="1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  <xf numFmtId="0" fontId="0" fillId="0" borderId="55" xfId="0" applyBorder="1" applyAlignment="1" applyProtection="1">
      <alignment horizontal="center" wrapText="1"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35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142875</xdr:rowOff>
    </xdr:from>
    <xdr:to>
      <xdr:col>0</xdr:col>
      <xdr:colOff>0</xdr:colOff>
      <xdr:row>71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0" y="10506075"/>
          <a:ext cx="0" cy="1276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BEST WISHES</a:t>
          </a:r>
        </a:p>
      </xdr:txBody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13</xdr:col>
      <xdr:colOff>0</xdr:colOff>
      <xdr:row>89</xdr:row>
      <xdr:rowOff>66675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2954000"/>
          <a:ext cx="517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54</xdr:row>
      <xdr:rowOff>0</xdr:rowOff>
    </xdr:from>
    <xdr:to>
      <xdr:col>13</xdr:col>
      <xdr:colOff>333375</xdr:colOff>
      <xdr:row>55</xdr:row>
      <xdr:rowOff>28575</xdr:rowOff>
    </xdr:to>
    <xdr:sp>
      <xdr:nvSpPr>
        <xdr:cNvPr id="3" name="WordArt 20"/>
        <xdr:cNvSpPr>
          <a:spLocks/>
        </xdr:cNvSpPr>
      </xdr:nvSpPr>
      <xdr:spPr>
        <a:xfrm>
          <a:off x="438150" y="8896350"/>
          <a:ext cx="6562725" cy="200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458"/>
            </a:avLst>
          </a:prstTxWarp>
        </a:bodyPr>
        <a:p>
          <a:pPr algn="ctr"/>
          <a:r>
            <a:rPr sz="800" b="1" kern="10" spc="0">
              <a:ln w="12700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PREPARED BY KS VENKATASUBRAMANIAN, M.Com.,Jr Clerk,O/o.RDCOS,BCAS,Chennai-27
</a:t>
          </a:r>
        </a:p>
      </xdr:txBody>
    </xdr:sp>
    <xdr:clientData/>
  </xdr:twoCellAnchor>
  <xdr:twoCellAnchor>
    <xdr:from>
      <xdr:col>3</xdr:col>
      <xdr:colOff>171450</xdr:colOff>
      <xdr:row>9</xdr:row>
      <xdr:rowOff>47625</xdr:rowOff>
    </xdr:from>
    <xdr:to>
      <xdr:col>3</xdr:col>
      <xdr:colOff>352425</xdr:colOff>
      <xdr:row>15</xdr:row>
      <xdr:rowOff>95250</xdr:rowOff>
    </xdr:to>
    <xdr:sp>
      <xdr:nvSpPr>
        <xdr:cNvPr id="4" name="WordArt 22"/>
        <xdr:cNvSpPr>
          <a:spLocks/>
        </xdr:cNvSpPr>
      </xdr:nvSpPr>
      <xdr:spPr>
        <a:xfrm rot="5400000">
          <a:off x="1666875" y="1533525"/>
          <a:ext cx="180975" cy="1028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3268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DA RATES</a:t>
          </a:r>
        </a:p>
      </xdr:txBody>
    </xdr:sp>
    <xdr:clientData/>
  </xdr:twoCellAnchor>
  <xdr:twoCellAnchor>
    <xdr:from>
      <xdr:col>0</xdr:col>
      <xdr:colOff>180975</xdr:colOff>
      <xdr:row>9</xdr:row>
      <xdr:rowOff>57150</xdr:rowOff>
    </xdr:from>
    <xdr:to>
      <xdr:col>0</xdr:col>
      <xdr:colOff>371475</xdr:colOff>
      <xdr:row>15</xdr:row>
      <xdr:rowOff>152400</xdr:rowOff>
    </xdr:to>
    <xdr:sp>
      <xdr:nvSpPr>
        <xdr:cNvPr id="5" name="WordArt 23"/>
        <xdr:cNvSpPr>
          <a:spLocks/>
        </xdr:cNvSpPr>
      </xdr:nvSpPr>
      <xdr:spPr>
        <a:xfrm rot="5400000">
          <a:off x="180975" y="1543050"/>
          <a:ext cx="190500" cy="1076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3912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DA RATES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15</xdr:col>
      <xdr:colOff>581025</xdr:colOff>
      <xdr:row>38</xdr:row>
      <xdr:rowOff>0</xdr:rowOff>
    </xdr:to>
    <xdr:sp>
      <xdr:nvSpPr>
        <xdr:cNvPr id="1" name="WordArt 20"/>
        <xdr:cNvSpPr>
          <a:spLocks/>
        </xdr:cNvSpPr>
      </xdr:nvSpPr>
      <xdr:spPr>
        <a:xfrm>
          <a:off x="0" y="6362700"/>
          <a:ext cx="986790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458"/>
            </a:avLst>
          </a:prstTxWarp>
        </a:bodyPr>
        <a:p>
          <a:pPr algn="ctr"/>
          <a:r>
            <a:rPr sz="800" b="1" kern="10" spc="0">
              <a:ln w="12700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PREPARED BY KS VENKATASUBRAMANIAN, M.Com.,Jr Clerk,O/oRDCOS,BCAS,Chennai-27</a:t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" name="WordArt 22"/>
        <xdr:cNvSpPr>
          <a:spLocks/>
        </xdr:cNvSpPr>
      </xdr:nvSpPr>
      <xdr:spPr>
        <a:xfrm rot="5400000">
          <a:off x="2571750" y="0"/>
          <a:ext cx="180975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3268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DA RATES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WordArt 23"/>
        <xdr:cNvSpPr>
          <a:spLocks/>
        </xdr:cNvSpPr>
      </xdr:nvSpPr>
      <xdr:spPr>
        <a:xfrm rot="5400000">
          <a:off x="180975" y="0"/>
          <a:ext cx="19050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3912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DA RATES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8.00390625" style="0" customWidth="1"/>
    <col min="3" max="3" width="6.57421875" style="0" customWidth="1"/>
    <col min="4" max="4" width="8.57421875" style="0" customWidth="1"/>
    <col min="5" max="5" width="6.421875" style="0" customWidth="1"/>
    <col min="6" max="6" width="7.00390625" style="0" customWidth="1"/>
    <col min="7" max="7" width="5.28125" style="0" customWidth="1"/>
    <col min="8" max="8" width="6.28125" style="0" customWidth="1"/>
    <col min="9" max="9" width="6.00390625" style="0" customWidth="1"/>
    <col min="10" max="10" width="9.421875" style="0" customWidth="1"/>
    <col min="11" max="11" width="10.421875" style="0" customWidth="1"/>
    <col min="12" max="12" width="7.7109375" style="0" customWidth="1"/>
    <col min="13" max="13" width="10.421875" style="0" customWidth="1"/>
    <col min="14" max="14" width="10.28125" style="0" customWidth="1"/>
  </cols>
  <sheetData>
    <row r="1" spans="1:14" ht="13.5" thickBot="1">
      <c r="A1" s="118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9"/>
    </row>
    <row r="2" spans="1:14" ht="13.5" thickBot="1">
      <c r="A2" s="125" t="s">
        <v>0</v>
      </c>
      <c r="B2" s="126"/>
      <c r="C2" s="126"/>
      <c r="D2" s="126"/>
      <c r="E2" s="126"/>
      <c r="F2" s="126"/>
      <c r="G2" s="126"/>
      <c r="H2" s="127"/>
      <c r="I2" s="88">
        <v>3425</v>
      </c>
      <c r="J2" s="5"/>
      <c r="K2" s="122" t="s">
        <v>60</v>
      </c>
      <c r="L2" s="123"/>
      <c r="M2" s="124"/>
      <c r="N2" s="52"/>
    </row>
    <row r="3" spans="1:14" ht="12.75">
      <c r="A3" s="120" t="s">
        <v>1</v>
      </c>
      <c r="B3" s="121"/>
      <c r="C3" s="121"/>
      <c r="D3" s="121"/>
      <c r="E3" s="121"/>
      <c r="F3" s="121"/>
      <c r="G3" s="121"/>
      <c r="H3" s="121"/>
      <c r="I3" s="82">
        <v>1900</v>
      </c>
      <c r="J3" s="3"/>
      <c r="K3" s="5"/>
      <c r="L3" s="5"/>
      <c r="M3" s="8"/>
      <c r="N3" s="52"/>
    </row>
    <row r="4" spans="1:14" ht="12.75">
      <c r="A4" s="120" t="s">
        <v>57</v>
      </c>
      <c r="B4" s="121"/>
      <c r="C4" s="121"/>
      <c r="D4" s="121"/>
      <c r="E4" s="121"/>
      <c r="F4" s="121"/>
      <c r="G4" s="121"/>
      <c r="H4" s="121"/>
      <c r="I4" s="83">
        <v>0.3</v>
      </c>
      <c r="J4" s="7">
        <f>IF(1,G19)</f>
        <v>3425</v>
      </c>
      <c r="K4" s="9">
        <f>IF(2,G19+I9)</f>
        <v>3500</v>
      </c>
      <c r="L4" s="9">
        <f>IF(3,G19+I9)</f>
        <v>3500</v>
      </c>
      <c r="M4" s="10">
        <f>IF(4,G19+I9)</f>
        <v>3500</v>
      </c>
      <c r="N4" s="52"/>
    </row>
    <row r="5" spans="1:14" ht="12.75">
      <c r="A5" s="139" t="s">
        <v>58</v>
      </c>
      <c r="B5" s="140"/>
      <c r="C5" s="140"/>
      <c r="D5" s="141"/>
      <c r="E5" s="141"/>
      <c r="F5" s="141"/>
      <c r="G5" s="141"/>
      <c r="H5" s="141"/>
      <c r="I5" s="82">
        <v>8</v>
      </c>
      <c r="J5" s="7">
        <f>IF(5,G19+I9)</f>
        <v>3500</v>
      </c>
      <c r="K5" s="9">
        <f>IF(6,G19+I9)</f>
        <v>3500</v>
      </c>
      <c r="L5" s="9">
        <f>IF(7,G19+I9)</f>
        <v>3500</v>
      </c>
      <c r="M5" s="10">
        <f>IF(8,G19+I9)</f>
        <v>3500</v>
      </c>
      <c r="N5" s="52"/>
    </row>
    <row r="6" spans="1:14" ht="12.75">
      <c r="A6" s="120" t="s">
        <v>3</v>
      </c>
      <c r="B6" s="121"/>
      <c r="C6" s="121"/>
      <c r="D6" s="121"/>
      <c r="E6" s="121"/>
      <c r="F6" s="121"/>
      <c r="G6" s="121"/>
      <c r="H6" s="121"/>
      <c r="I6" s="82">
        <v>1</v>
      </c>
      <c r="J6" s="7">
        <f>IF(9,G19+I9)</f>
        <v>3500</v>
      </c>
      <c r="K6" s="9">
        <f>IF(10,G19+I9)</f>
        <v>3500</v>
      </c>
      <c r="L6" s="9">
        <f>IF(11,G19+I9)</f>
        <v>3500</v>
      </c>
      <c r="M6" s="10">
        <f>IF(12,G19+I9)</f>
        <v>3500</v>
      </c>
      <c r="N6" s="52"/>
    </row>
    <row r="7" spans="1:14" ht="12.75">
      <c r="A7" s="120" t="s">
        <v>4</v>
      </c>
      <c r="B7" s="121"/>
      <c r="C7" s="121"/>
      <c r="D7" s="121"/>
      <c r="E7" s="121"/>
      <c r="F7" s="121"/>
      <c r="G7" s="121"/>
      <c r="H7" s="121"/>
      <c r="I7" s="82">
        <v>2</v>
      </c>
      <c r="J7" s="7">
        <f>IF(I78,0,0)</f>
        <v>0</v>
      </c>
      <c r="K7" s="9">
        <f>IF(I7&lt;2,I8,I8)</f>
        <v>1200</v>
      </c>
      <c r="L7" s="19">
        <f>IF(I7&gt;1,MAX(J7:K7))</f>
        <v>1200</v>
      </c>
      <c r="M7" s="10"/>
      <c r="N7" s="52"/>
    </row>
    <row r="8" spans="1:14" ht="12.75">
      <c r="A8" s="120" t="s">
        <v>2</v>
      </c>
      <c r="B8" s="121"/>
      <c r="C8" s="121"/>
      <c r="D8" s="121"/>
      <c r="E8" s="121"/>
      <c r="F8" s="121"/>
      <c r="G8" s="121"/>
      <c r="H8" s="121"/>
      <c r="I8" s="82">
        <v>1200</v>
      </c>
      <c r="J8" s="6" t="b">
        <f>IF(I6&gt;1,I4*#REF!)</f>
        <v>0</v>
      </c>
      <c r="K8" s="9">
        <f>IF(I6&lt;1,0,0)</f>
        <v>0</v>
      </c>
      <c r="L8" s="9"/>
      <c r="M8" s="10"/>
      <c r="N8" s="52"/>
    </row>
    <row r="9" spans="1:14" ht="13.5" thickBot="1">
      <c r="A9" s="161" t="s">
        <v>25</v>
      </c>
      <c r="B9" s="162"/>
      <c r="C9" s="162"/>
      <c r="D9" s="4"/>
      <c r="E9" s="4"/>
      <c r="F9" s="4"/>
      <c r="G9" s="4"/>
      <c r="H9" s="4"/>
      <c r="I9" s="84">
        <v>75</v>
      </c>
      <c r="J9" s="3"/>
      <c r="K9" s="5"/>
      <c r="L9" s="5"/>
      <c r="M9" s="8"/>
      <c r="N9" s="52"/>
    </row>
    <row r="10" spans="1:14" ht="13.5" thickBot="1">
      <c r="A10" s="133"/>
      <c r="B10" s="18" t="s">
        <v>41</v>
      </c>
      <c r="C10" s="15" t="s">
        <v>14</v>
      </c>
      <c r="D10" s="156"/>
      <c r="E10" s="14" t="s">
        <v>41</v>
      </c>
      <c r="F10" s="22" t="s">
        <v>15</v>
      </c>
      <c r="G10" s="155" t="s">
        <v>59</v>
      </c>
      <c r="H10" s="155"/>
      <c r="I10" s="155"/>
      <c r="J10" s="86">
        <v>0.03</v>
      </c>
      <c r="K10" s="87" t="s">
        <v>18</v>
      </c>
      <c r="L10" s="85"/>
      <c r="M10" s="44"/>
      <c r="N10" s="52"/>
    </row>
    <row r="11" spans="1:14" ht="12.75">
      <c r="A11" s="134"/>
      <c r="B11" s="23" t="s">
        <v>16</v>
      </c>
      <c r="C11" s="20">
        <v>0</v>
      </c>
      <c r="D11" s="157"/>
      <c r="E11" s="20" t="s">
        <v>16</v>
      </c>
      <c r="F11" s="21">
        <v>0.24</v>
      </c>
      <c r="G11" s="64"/>
      <c r="H11" s="57"/>
      <c r="I11" s="57"/>
      <c r="J11" s="76"/>
      <c r="K11" s="61"/>
      <c r="L11" s="44"/>
      <c r="M11" s="44"/>
      <c r="N11" s="52"/>
    </row>
    <row r="12" spans="1:14" ht="12.75">
      <c r="A12" s="134"/>
      <c r="B12" s="23" t="s">
        <v>5</v>
      </c>
      <c r="C12" s="20">
        <v>0.02</v>
      </c>
      <c r="D12" s="157"/>
      <c r="E12" s="20" t="s">
        <v>5</v>
      </c>
      <c r="F12" s="21">
        <v>0.29</v>
      </c>
      <c r="G12" s="64"/>
      <c r="H12" s="57"/>
      <c r="I12" s="57"/>
      <c r="J12" s="77"/>
      <c r="K12" s="44"/>
      <c r="L12" s="44"/>
      <c r="M12" s="44"/>
      <c r="N12" s="52"/>
    </row>
    <row r="13" spans="1:14" ht="12.75">
      <c r="A13" s="134"/>
      <c r="B13" s="23" t="s">
        <v>6</v>
      </c>
      <c r="C13" s="20">
        <v>0.06</v>
      </c>
      <c r="D13" s="157"/>
      <c r="E13" s="20" t="s">
        <v>6</v>
      </c>
      <c r="F13" s="21">
        <v>0.35</v>
      </c>
      <c r="G13" s="75"/>
      <c r="H13" s="75"/>
      <c r="I13" s="57"/>
      <c r="J13" s="57"/>
      <c r="K13" s="44"/>
      <c r="L13" s="44"/>
      <c r="M13" s="44"/>
      <c r="N13" s="52"/>
    </row>
    <row r="14" spans="1:14" ht="12.75">
      <c r="A14" s="134"/>
      <c r="B14" s="23" t="s">
        <v>7</v>
      </c>
      <c r="C14" s="20">
        <v>0.09</v>
      </c>
      <c r="D14" s="157"/>
      <c r="E14" s="20" t="s">
        <v>7</v>
      </c>
      <c r="F14" s="21">
        <v>0.41</v>
      </c>
      <c r="G14" s="75"/>
      <c r="H14" s="78"/>
      <c r="I14" s="78"/>
      <c r="J14" s="78"/>
      <c r="K14" s="44"/>
      <c r="L14" s="44"/>
      <c r="M14" s="79"/>
      <c r="N14" s="52"/>
    </row>
    <row r="15" spans="1:14" ht="12.75">
      <c r="A15" s="134"/>
      <c r="B15" s="23" t="s">
        <v>8</v>
      </c>
      <c r="C15" s="20">
        <v>0.12</v>
      </c>
      <c r="D15" s="157"/>
      <c r="E15" s="20" t="s">
        <v>16</v>
      </c>
      <c r="F15" s="21">
        <v>0.47</v>
      </c>
      <c r="G15" s="75"/>
      <c r="H15" s="80"/>
      <c r="I15" s="78"/>
      <c r="J15" s="78"/>
      <c r="K15" s="44"/>
      <c r="L15" s="44"/>
      <c r="M15" s="44"/>
      <c r="N15" s="52"/>
    </row>
    <row r="16" spans="1:14" ht="13.5" thickBot="1">
      <c r="A16" s="135"/>
      <c r="B16" s="53" t="s">
        <v>55</v>
      </c>
      <c r="C16" s="54">
        <v>0.16</v>
      </c>
      <c r="D16" s="158"/>
      <c r="E16" s="33" t="s">
        <v>55</v>
      </c>
      <c r="F16" s="55">
        <v>0.47</v>
      </c>
      <c r="G16" s="63"/>
      <c r="H16" s="63"/>
      <c r="I16" s="81"/>
      <c r="J16" s="81"/>
      <c r="K16" s="44"/>
      <c r="L16" s="44"/>
      <c r="M16" s="44"/>
      <c r="N16" s="56"/>
    </row>
    <row r="17" spans="1:14" ht="13.5" thickBot="1">
      <c r="A17" s="128" t="s">
        <v>9</v>
      </c>
      <c r="B17" s="129"/>
      <c r="C17" s="129"/>
      <c r="D17" s="129"/>
      <c r="E17" s="129"/>
      <c r="F17" s="130"/>
      <c r="G17" s="136" t="s">
        <v>61</v>
      </c>
      <c r="H17" s="137"/>
      <c r="I17" s="137"/>
      <c r="J17" s="137"/>
      <c r="K17" s="137"/>
      <c r="L17" s="138"/>
      <c r="M17" s="5"/>
      <c r="N17" s="48"/>
    </row>
    <row r="18" spans="1:14" ht="12.75">
      <c r="A18" s="26" t="s">
        <v>41</v>
      </c>
      <c r="B18" s="24" t="s">
        <v>10</v>
      </c>
      <c r="C18" s="24" t="s">
        <v>42</v>
      </c>
      <c r="D18" s="27" t="s">
        <v>11</v>
      </c>
      <c r="E18" s="24" t="s">
        <v>12</v>
      </c>
      <c r="F18" s="27" t="s">
        <v>11</v>
      </c>
      <c r="G18" s="27" t="s">
        <v>39</v>
      </c>
      <c r="H18" s="28" t="s">
        <v>13</v>
      </c>
      <c r="I18" s="29" t="s">
        <v>11</v>
      </c>
      <c r="J18" s="28" t="s">
        <v>12</v>
      </c>
      <c r="K18" s="29" t="s">
        <v>11</v>
      </c>
      <c r="L18" s="29" t="s">
        <v>17</v>
      </c>
      <c r="M18" s="46" t="s">
        <v>65</v>
      </c>
      <c r="N18" s="49" t="s">
        <v>66</v>
      </c>
    </row>
    <row r="19" spans="1:14" ht="12.75">
      <c r="A19" s="16" t="s">
        <v>16</v>
      </c>
      <c r="B19" s="13">
        <f>CEILING(I2*1.86,10)</f>
        <v>6380</v>
      </c>
      <c r="C19" s="13">
        <f>(I3)</f>
        <v>1900</v>
      </c>
      <c r="D19" s="13">
        <f>(B19+C19)</f>
        <v>8280</v>
      </c>
      <c r="E19" s="13">
        <f>(D19*C11)</f>
        <v>0</v>
      </c>
      <c r="F19" s="13">
        <f>(D19+E19)</f>
        <v>8280</v>
      </c>
      <c r="G19" s="13">
        <f>IF(I5&gt;0,I2)</f>
        <v>3425</v>
      </c>
      <c r="H19" s="13">
        <f>ROUND(50%*G19,0.5)</f>
        <v>1713</v>
      </c>
      <c r="I19" s="13">
        <f>SUM(G19:H19)</f>
        <v>5138</v>
      </c>
      <c r="J19" s="13">
        <f>ROUND(F11*I19,0.5)</f>
        <v>1233</v>
      </c>
      <c r="K19" s="13">
        <f>I19+J19</f>
        <v>6371</v>
      </c>
      <c r="L19" s="13">
        <f>F19-K19</f>
        <v>1909</v>
      </c>
      <c r="M19" s="47">
        <f>(40%*L19)</f>
        <v>763.6</v>
      </c>
      <c r="N19" s="50">
        <f>60%*L19</f>
        <v>1145.3999999999999</v>
      </c>
    </row>
    <row r="20" spans="1:14" ht="12.75">
      <c r="A20" s="16" t="s">
        <v>19</v>
      </c>
      <c r="B20" s="13">
        <f aca="true" t="shared" si="0" ref="B20:F21">(B19)</f>
        <v>6380</v>
      </c>
      <c r="C20" s="13">
        <f t="shared" si="0"/>
        <v>1900</v>
      </c>
      <c r="D20" s="13">
        <f t="shared" si="0"/>
        <v>8280</v>
      </c>
      <c r="E20" s="13">
        <f t="shared" si="0"/>
        <v>0</v>
      </c>
      <c r="F20" s="13">
        <f t="shared" si="0"/>
        <v>8280</v>
      </c>
      <c r="G20" s="13">
        <f>IF(I5=2,I2+I9,G19)</f>
        <v>3425</v>
      </c>
      <c r="H20" s="13">
        <f aca="true" t="shared" si="1" ref="H20:H50">ROUND(50%*G20,0.5)</f>
        <v>1713</v>
      </c>
      <c r="I20" s="13">
        <f aca="true" t="shared" si="2" ref="I20:I50">SUM(G20:H20)</f>
        <v>5138</v>
      </c>
      <c r="J20" s="13">
        <f>ROUND(F11*I20,0.5)</f>
        <v>1233</v>
      </c>
      <c r="K20" s="13">
        <f aca="true" t="shared" si="3" ref="K20:K50">I20+J20</f>
        <v>6371</v>
      </c>
      <c r="L20" s="13">
        <f aca="true" t="shared" si="4" ref="L20:L50">F20-K20</f>
        <v>1909</v>
      </c>
      <c r="M20" s="47">
        <f aca="true" t="shared" si="5" ref="M20:M50">(40%*L20)</f>
        <v>763.6</v>
      </c>
      <c r="N20" s="50">
        <f aca="true" t="shared" si="6" ref="N20:N50">60%*L20</f>
        <v>1145.3999999999999</v>
      </c>
    </row>
    <row r="21" spans="1:14" ht="12.75">
      <c r="A21" s="16" t="s">
        <v>21</v>
      </c>
      <c r="B21" s="13">
        <f t="shared" si="0"/>
        <v>6380</v>
      </c>
      <c r="C21" s="13">
        <f t="shared" si="0"/>
        <v>1900</v>
      </c>
      <c r="D21" s="13">
        <f t="shared" si="0"/>
        <v>8280</v>
      </c>
      <c r="E21" s="13">
        <f t="shared" si="0"/>
        <v>0</v>
      </c>
      <c r="F21" s="13">
        <f t="shared" si="0"/>
        <v>8280</v>
      </c>
      <c r="G21" s="13">
        <f>IF(I5=3,I2+I9,G20)</f>
        <v>3425</v>
      </c>
      <c r="H21" s="13">
        <f t="shared" si="1"/>
        <v>1713</v>
      </c>
      <c r="I21" s="13">
        <f t="shared" si="2"/>
        <v>5138</v>
      </c>
      <c r="J21" s="13">
        <f>ROUND(F11*I21,0.5)</f>
        <v>1233</v>
      </c>
      <c r="K21" s="13">
        <f t="shared" si="3"/>
        <v>6371</v>
      </c>
      <c r="L21" s="13">
        <f t="shared" si="4"/>
        <v>1909</v>
      </c>
      <c r="M21" s="47">
        <f t="shared" si="5"/>
        <v>763.6</v>
      </c>
      <c r="N21" s="50">
        <f t="shared" si="6"/>
        <v>1145.3999999999999</v>
      </c>
    </row>
    <row r="22" spans="1:14" ht="12.75">
      <c r="A22" s="16" t="s">
        <v>43</v>
      </c>
      <c r="B22" s="13">
        <f>(B21)</f>
        <v>6380</v>
      </c>
      <c r="C22" s="13">
        <f aca="true" t="shared" si="7" ref="C22:C31">(C21)</f>
        <v>1900</v>
      </c>
      <c r="D22" s="13">
        <f aca="true" t="shared" si="8" ref="D22:F24">(D21)</f>
        <v>8280</v>
      </c>
      <c r="E22" s="13">
        <f t="shared" si="8"/>
        <v>0</v>
      </c>
      <c r="F22" s="13">
        <f t="shared" si="8"/>
        <v>8280</v>
      </c>
      <c r="G22" s="13">
        <f>IF(I5=4,I2+I9,G21)</f>
        <v>3425</v>
      </c>
      <c r="H22" s="13">
        <f t="shared" si="1"/>
        <v>1713</v>
      </c>
      <c r="I22" s="13">
        <f t="shared" si="2"/>
        <v>5138</v>
      </c>
      <c r="J22" s="13">
        <f>ROUND(F11*I22,0.5)</f>
        <v>1233</v>
      </c>
      <c r="K22" s="13">
        <f t="shared" si="3"/>
        <v>6371</v>
      </c>
      <c r="L22" s="13">
        <f>F22-K22</f>
        <v>1909</v>
      </c>
      <c r="M22" s="47">
        <f t="shared" si="5"/>
        <v>763.6</v>
      </c>
      <c r="N22" s="50">
        <f t="shared" si="6"/>
        <v>1145.3999999999999</v>
      </c>
    </row>
    <row r="23" spans="1:14" ht="12.75">
      <c r="A23" s="16" t="s">
        <v>20</v>
      </c>
      <c r="B23" s="13">
        <f>(B22)</f>
        <v>6380</v>
      </c>
      <c r="C23" s="13">
        <f t="shared" si="7"/>
        <v>1900</v>
      </c>
      <c r="D23" s="13">
        <f t="shared" si="8"/>
        <v>8280</v>
      </c>
      <c r="E23" s="13">
        <f t="shared" si="8"/>
        <v>0</v>
      </c>
      <c r="F23" s="13">
        <f t="shared" si="8"/>
        <v>8280</v>
      </c>
      <c r="G23" s="13">
        <f>IF(I5=5,I2+I9,G22)</f>
        <v>3425</v>
      </c>
      <c r="H23" s="13">
        <f t="shared" si="1"/>
        <v>1713</v>
      </c>
      <c r="I23" s="13">
        <f t="shared" si="2"/>
        <v>5138</v>
      </c>
      <c r="J23" s="13">
        <f>ROUND(F11*I23,0.5)</f>
        <v>1233</v>
      </c>
      <c r="K23" s="13">
        <f t="shared" si="3"/>
        <v>6371</v>
      </c>
      <c r="L23" s="13">
        <f t="shared" si="4"/>
        <v>1909</v>
      </c>
      <c r="M23" s="47">
        <f t="shared" si="5"/>
        <v>763.6</v>
      </c>
      <c r="N23" s="50">
        <f t="shared" si="6"/>
        <v>1145.3999999999999</v>
      </c>
    </row>
    <row r="24" spans="1:14" ht="12.75">
      <c r="A24" s="16" t="s">
        <v>44</v>
      </c>
      <c r="B24" s="13">
        <f>(B23)</f>
        <v>6380</v>
      </c>
      <c r="C24" s="13">
        <f t="shared" si="7"/>
        <v>1900</v>
      </c>
      <c r="D24" s="13">
        <f t="shared" si="8"/>
        <v>8280</v>
      </c>
      <c r="E24" s="13">
        <f t="shared" si="8"/>
        <v>0</v>
      </c>
      <c r="F24" s="13">
        <f t="shared" si="8"/>
        <v>8280</v>
      </c>
      <c r="G24" s="13">
        <f>IF(I5=6,I2+I9,G23)</f>
        <v>3425</v>
      </c>
      <c r="H24" s="13">
        <f t="shared" si="1"/>
        <v>1713</v>
      </c>
      <c r="I24" s="13">
        <f t="shared" si="2"/>
        <v>5138</v>
      </c>
      <c r="J24" s="13">
        <f>ROUND(F11*I24,0.5)</f>
        <v>1233</v>
      </c>
      <c r="K24" s="13">
        <f t="shared" si="3"/>
        <v>6371</v>
      </c>
      <c r="L24" s="13">
        <f t="shared" si="4"/>
        <v>1909</v>
      </c>
      <c r="M24" s="47">
        <f t="shared" si="5"/>
        <v>763.6</v>
      </c>
      <c r="N24" s="50">
        <f t="shared" si="6"/>
        <v>1145.3999999999999</v>
      </c>
    </row>
    <row r="25" spans="1:14" ht="12.75">
      <c r="A25" s="16" t="s">
        <v>5</v>
      </c>
      <c r="B25" s="13">
        <f>CEILING((D24*J10)+B24,10)</f>
        <v>6630</v>
      </c>
      <c r="C25" s="13">
        <f t="shared" si="7"/>
        <v>1900</v>
      </c>
      <c r="D25" s="13">
        <f aca="true" t="shared" si="9" ref="D25:D45">(B25+C25)</f>
        <v>8530</v>
      </c>
      <c r="E25" s="13">
        <f>(D25*C12)</f>
        <v>170.6</v>
      </c>
      <c r="F25" s="13">
        <f aca="true" t="shared" si="10" ref="F25:F46">(D25+E25)</f>
        <v>8700.6</v>
      </c>
      <c r="G25" s="13">
        <f>IF(I5=7,I2+I9,G24)</f>
        <v>3425</v>
      </c>
      <c r="H25" s="13">
        <f t="shared" si="1"/>
        <v>1713</v>
      </c>
      <c r="I25" s="13">
        <f t="shared" si="2"/>
        <v>5138</v>
      </c>
      <c r="J25" s="13">
        <f>ROUND(F12*I25,0.5)</f>
        <v>1490</v>
      </c>
      <c r="K25" s="13">
        <f t="shared" si="3"/>
        <v>6628</v>
      </c>
      <c r="L25" s="13">
        <f t="shared" si="4"/>
        <v>2072.6000000000004</v>
      </c>
      <c r="M25" s="47">
        <f t="shared" si="5"/>
        <v>829.0400000000002</v>
      </c>
      <c r="N25" s="51">
        <f t="shared" si="6"/>
        <v>1243.5600000000002</v>
      </c>
    </row>
    <row r="26" spans="1:14" ht="12.75">
      <c r="A26" s="16" t="s">
        <v>45</v>
      </c>
      <c r="B26" s="13">
        <f>(B25)</f>
        <v>6630</v>
      </c>
      <c r="C26" s="13">
        <f t="shared" si="7"/>
        <v>1900</v>
      </c>
      <c r="D26" s="13">
        <f t="shared" si="9"/>
        <v>8530</v>
      </c>
      <c r="E26" s="13">
        <f>(E25)</f>
        <v>170.6</v>
      </c>
      <c r="F26" s="13">
        <f t="shared" si="10"/>
        <v>8700.6</v>
      </c>
      <c r="G26" s="13">
        <f>IF(I5=8,I2+I9,G25)</f>
        <v>3500</v>
      </c>
      <c r="H26" s="13">
        <f t="shared" si="1"/>
        <v>1750</v>
      </c>
      <c r="I26" s="13">
        <f t="shared" si="2"/>
        <v>5250</v>
      </c>
      <c r="J26" s="13">
        <f>ROUND(F12*I26,0.5)</f>
        <v>1523</v>
      </c>
      <c r="K26" s="13">
        <f t="shared" si="3"/>
        <v>6773</v>
      </c>
      <c r="L26" s="13">
        <f t="shared" si="4"/>
        <v>1927.6000000000004</v>
      </c>
      <c r="M26" s="47">
        <f t="shared" si="5"/>
        <v>771.0400000000002</v>
      </c>
      <c r="N26" s="51">
        <f t="shared" si="6"/>
        <v>1156.5600000000002</v>
      </c>
    </row>
    <row r="27" spans="1:14" ht="12.75">
      <c r="A27" s="16" t="s">
        <v>52</v>
      </c>
      <c r="B27" s="13">
        <f>(B26)</f>
        <v>6630</v>
      </c>
      <c r="C27" s="13">
        <f t="shared" si="7"/>
        <v>1900</v>
      </c>
      <c r="D27" s="13">
        <f t="shared" si="9"/>
        <v>8530</v>
      </c>
      <c r="E27" s="13">
        <f>(E26)</f>
        <v>170.6</v>
      </c>
      <c r="F27" s="13">
        <f t="shared" si="10"/>
        <v>8700.6</v>
      </c>
      <c r="G27" s="13">
        <f>IF(I5=9,I2+I9,G26)</f>
        <v>3500</v>
      </c>
      <c r="H27" s="13">
        <f t="shared" si="1"/>
        <v>1750</v>
      </c>
      <c r="I27" s="13">
        <f t="shared" si="2"/>
        <v>5250</v>
      </c>
      <c r="J27" s="13">
        <f>ROUND(F12*I27,0.5)</f>
        <v>1523</v>
      </c>
      <c r="K27" s="13">
        <f t="shared" si="3"/>
        <v>6773</v>
      </c>
      <c r="L27" s="13">
        <f t="shared" si="4"/>
        <v>1927.6000000000004</v>
      </c>
      <c r="M27" s="47">
        <f t="shared" si="5"/>
        <v>771.0400000000002</v>
      </c>
      <c r="N27" s="51">
        <f t="shared" si="6"/>
        <v>1156.5600000000002</v>
      </c>
    </row>
    <row r="28" spans="1:14" s="1" customFormat="1" ht="12.75">
      <c r="A28" s="16" t="s">
        <v>22</v>
      </c>
      <c r="B28" s="13">
        <f>(B27)</f>
        <v>6630</v>
      </c>
      <c r="C28" s="13">
        <f t="shared" si="7"/>
        <v>1900</v>
      </c>
      <c r="D28" s="13">
        <f t="shared" si="9"/>
        <v>8530</v>
      </c>
      <c r="E28" s="13">
        <f>(E27)</f>
        <v>170.6</v>
      </c>
      <c r="F28" s="13">
        <f t="shared" si="10"/>
        <v>8700.6</v>
      </c>
      <c r="G28" s="13">
        <f>IF(I5=10,I2+I9,G27)</f>
        <v>3500</v>
      </c>
      <c r="H28" s="13">
        <f t="shared" si="1"/>
        <v>1750</v>
      </c>
      <c r="I28" s="13">
        <f t="shared" si="2"/>
        <v>5250</v>
      </c>
      <c r="J28" s="13">
        <f>ROUND(F12*I28,0.5)</f>
        <v>1523</v>
      </c>
      <c r="K28" s="13">
        <f t="shared" si="3"/>
        <v>6773</v>
      </c>
      <c r="L28" s="13">
        <f t="shared" si="4"/>
        <v>1927.6000000000004</v>
      </c>
      <c r="M28" s="47">
        <f t="shared" si="5"/>
        <v>771.0400000000002</v>
      </c>
      <c r="N28" s="51">
        <f t="shared" si="6"/>
        <v>1156.5600000000002</v>
      </c>
    </row>
    <row r="29" spans="1:14" s="1" customFormat="1" ht="12.75">
      <c r="A29" s="16" t="s">
        <v>23</v>
      </c>
      <c r="B29" s="13">
        <f>(B28)</f>
        <v>6630</v>
      </c>
      <c r="C29" s="13">
        <f t="shared" si="7"/>
        <v>1900</v>
      </c>
      <c r="D29" s="13">
        <f t="shared" si="9"/>
        <v>8530</v>
      </c>
      <c r="E29" s="13">
        <f>(E28)</f>
        <v>170.6</v>
      </c>
      <c r="F29" s="13">
        <f t="shared" si="10"/>
        <v>8700.6</v>
      </c>
      <c r="G29" s="13">
        <f>IF(I5=11,I2+I9,G28)</f>
        <v>3500</v>
      </c>
      <c r="H29" s="13">
        <f t="shared" si="1"/>
        <v>1750</v>
      </c>
      <c r="I29" s="13">
        <f t="shared" si="2"/>
        <v>5250</v>
      </c>
      <c r="J29" s="13">
        <f>ROUND(F12*I29,0.5)</f>
        <v>1523</v>
      </c>
      <c r="K29" s="13">
        <f t="shared" si="3"/>
        <v>6773</v>
      </c>
      <c r="L29" s="13">
        <f t="shared" si="4"/>
        <v>1927.6000000000004</v>
      </c>
      <c r="M29" s="47">
        <f t="shared" si="5"/>
        <v>771.0400000000002</v>
      </c>
      <c r="N29" s="51">
        <f t="shared" si="6"/>
        <v>1156.5600000000002</v>
      </c>
    </row>
    <row r="30" spans="1:14" s="1" customFormat="1" ht="12.75">
      <c r="A30" s="16" t="s">
        <v>24</v>
      </c>
      <c r="B30" s="13">
        <f>(B29)</f>
        <v>6630</v>
      </c>
      <c r="C30" s="13">
        <f t="shared" si="7"/>
        <v>1900</v>
      </c>
      <c r="D30" s="13">
        <f t="shared" si="9"/>
        <v>8530</v>
      </c>
      <c r="E30" s="13">
        <f>(E29)</f>
        <v>170.6</v>
      </c>
      <c r="F30" s="13">
        <f t="shared" si="10"/>
        <v>8700.6</v>
      </c>
      <c r="G30" s="13">
        <f>IF(I5=12,I2+I9,G29)</f>
        <v>3500</v>
      </c>
      <c r="H30" s="13">
        <f t="shared" si="1"/>
        <v>1750</v>
      </c>
      <c r="I30" s="13">
        <f t="shared" si="2"/>
        <v>5250</v>
      </c>
      <c r="J30" s="13">
        <f>ROUND(F12*I30,0.5)</f>
        <v>1523</v>
      </c>
      <c r="K30" s="13">
        <f t="shared" si="3"/>
        <v>6773</v>
      </c>
      <c r="L30" s="13">
        <f t="shared" si="4"/>
        <v>1927.6000000000004</v>
      </c>
      <c r="M30" s="47">
        <f t="shared" si="5"/>
        <v>771.0400000000002</v>
      </c>
      <c r="N30" s="51">
        <f t="shared" si="6"/>
        <v>1156.5600000000002</v>
      </c>
    </row>
    <row r="31" spans="1:14" s="1" customFormat="1" ht="12.75">
      <c r="A31" s="16" t="s">
        <v>6</v>
      </c>
      <c r="B31" s="13">
        <f aca="true" t="shared" si="11" ref="B31:B36">(B30)</f>
        <v>6630</v>
      </c>
      <c r="C31" s="13">
        <f t="shared" si="7"/>
        <v>1900</v>
      </c>
      <c r="D31" s="13">
        <f t="shared" si="9"/>
        <v>8530</v>
      </c>
      <c r="E31" s="13">
        <f>(C13*D31)</f>
        <v>511.79999999999995</v>
      </c>
      <c r="F31" s="13">
        <f t="shared" si="10"/>
        <v>9041.8</v>
      </c>
      <c r="G31" s="13">
        <f>IF(I5=1,G30+175,G30)</f>
        <v>3500</v>
      </c>
      <c r="H31" s="13">
        <f t="shared" si="1"/>
        <v>1750</v>
      </c>
      <c r="I31" s="13">
        <f t="shared" si="2"/>
        <v>5250</v>
      </c>
      <c r="J31" s="13">
        <f>ROUND(F13*I31,0.5)</f>
        <v>1838</v>
      </c>
      <c r="K31" s="13">
        <f t="shared" si="3"/>
        <v>7088</v>
      </c>
      <c r="L31" s="13">
        <f t="shared" si="4"/>
        <v>1953.7999999999993</v>
      </c>
      <c r="M31" s="47">
        <f t="shared" si="5"/>
        <v>781.5199999999998</v>
      </c>
      <c r="N31" s="51">
        <f t="shared" si="6"/>
        <v>1172.2799999999995</v>
      </c>
    </row>
    <row r="32" spans="1:14" s="1" customFormat="1" ht="12.75">
      <c r="A32" s="16" t="s">
        <v>26</v>
      </c>
      <c r="B32" s="13">
        <f t="shared" si="11"/>
        <v>6630</v>
      </c>
      <c r="C32" s="13">
        <f>(C31)</f>
        <v>1900</v>
      </c>
      <c r="D32" s="13">
        <f t="shared" si="9"/>
        <v>8530</v>
      </c>
      <c r="E32" s="13">
        <f>(C13*D32)</f>
        <v>511.79999999999995</v>
      </c>
      <c r="F32" s="13">
        <f t="shared" si="10"/>
        <v>9041.8</v>
      </c>
      <c r="G32" s="13">
        <f>IF(I5=2,G31+I9,G31)</f>
        <v>3500</v>
      </c>
      <c r="H32" s="13">
        <f t="shared" si="1"/>
        <v>1750</v>
      </c>
      <c r="I32" s="13">
        <f t="shared" si="2"/>
        <v>5250</v>
      </c>
      <c r="J32" s="13">
        <f>ROUND(F13*I32,0.5)</f>
        <v>1838</v>
      </c>
      <c r="K32" s="13">
        <f t="shared" si="3"/>
        <v>7088</v>
      </c>
      <c r="L32" s="13">
        <f t="shared" si="4"/>
        <v>1953.7999999999993</v>
      </c>
      <c r="M32" s="47">
        <f t="shared" si="5"/>
        <v>781.5199999999998</v>
      </c>
      <c r="N32" s="51">
        <f t="shared" si="6"/>
        <v>1172.2799999999995</v>
      </c>
    </row>
    <row r="33" spans="1:14" s="1" customFormat="1" ht="12.75">
      <c r="A33" s="16" t="s">
        <v>27</v>
      </c>
      <c r="B33" s="13">
        <f t="shared" si="11"/>
        <v>6630</v>
      </c>
      <c r="C33" s="13">
        <f aca="true" t="shared" si="12" ref="C33:C50">(C32)</f>
        <v>1900</v>
      </c>
      <c r="D33" s="13">
        <f t="shared" si="9"/>
        <v>8530</v>
      </c>
      <c r="E33" s="13">
        <f>(C13*D33)</f>
        <v>511.79999999999995</v>
      </c>
      <c r="F33" s="13">
        <f t="shared" si="10"/>
        <v>9041.8</v>
      </c>
      <c r="G33" s="13">
        <f>IF(I5=3,G32+I9,G32)</f>
        <v>3500</v>
      </c>
      <c r="H33" s="13">
        <f t="shared" si="1"/>
        <v>1750</v>
      </c>
      <c r="I33" s="13">
        <f t="shared" si="2"/>
        <v>5250</v>
      </c>
      <c r="J33" s="13">
        <f>ROUND(F13*I33,0.5)</f>
        <v>1838</v>
      </c>
      <c r="K33" s="13">
        <f t="shared" si="3"/>
        <v>7088</v>
      </c>
      <c r="L33" s="13">
        <f t="shared" si="4"/>
        <v>1953.7999999999993</v>
      </c>
      <c r="M33" s="47">
        <f t="shared" si="5"/>
        <v>781.5199999999998</v>
      </c>
      <c r="N33" s="51">
        <f t="shared" si="6"/>
        <v>1172.2799999999995</v>
      </c>
    </row>
    <row r="34" spans="1:14" s="1" customFormat="1" ht="12.75">
      <c r="A34" s="16" t="s">
        <v>46</v>
      </c>
      <c r="B34" s="13">
        <f t="shared" si="11"/>
        <v>6630</v>
      </c>
      <c r="C34" s="13">
        <f t="shared" si="12"/>
        <v>1900</v>
      </c>
      <c r="D34" s="13">
        <f t="shared" si="9"/>
        <v>8530</v>
      </c>
      <c r="E34" s="13">
        <f>(C13*D34)</f>
        <v>511.79999999999995</v>
      </c>
      <c r="F34" s="13">
        <f t="shared" si="10"/>
        <v>9041.8</v>
      </c>
      <c r="G34" s="13">
        <f>IF(I5=4,G33+I9,G33)</f>
        <v>3500</v>
      </c>
      <c r="H34" s="13">
        <f t="shared" si="1"/>
        <v>1750</v>
      </c>
      <c r="I34" s="13">
        <f t="shared" si="2"/>
        <v>5250</v>
      </c>
      <c r="J34" s="13">
        <f>ROUND(F13*I34,0.5)</f>
        <v>1838</v>
      </c>
      <c r="K34" s="13">
        <f t="shared" si="3"/>
        <v>7088</v>
      </c>
      <c r="L34" s="13">
        <f t="shared" si="4"/>
        <v>1953.7999999999993</v>
      </c>
      <c r="M34" s="47">
        <f t="shared" si="5"/>
        <v>781.5199999999998</v>
      </c>
      <c r="N34" s="51">
        <f t="shared" si="6"/>
        <v>1172.2799999999995</v>
      </c>
    </row>
    <row r="35" spans="1:14" s="1" customFormat="1" ht="12.75">
      <c r="A35" s="16" t="s">
        <v>28</v>
      </c>
      <c r="B35" s="13">
        <f t="shared" si="11"/>
        <v>6630</v>
      </c>
      <c r="C35" s="13">
        <f t="shared" si="12"/>
        <v>1900</v>
      </c>
      <c r="D35" s="13">
        <f t="shared" si="9"/>
        <v>8530</v>
      </c>
      <c r="E35" s="13">
        <f>(C13*D35)</f>
        <v>511.79999999999995</v>
      </c>
      <c r="F35" s="13">
        <f t="shared" si="10"/>
        <v>9041.8</v>
      </c>
      <c r="G35" s="13">
        <f>IF(I5=5,G34+I9,G34)</f>
        <v>3500</v>
      </c>
      <c r="H35" s="13">
        <f t="shared" si="1"/>
        <v>1750</v>
      </c>
      <c r="I35" s="13">
        <f t="shared" si="2"/>
        <v>5250</v>
      </c>
      <c r="J35" s="13">
        <f>ROUND(F13*I35,0.5)</f>
        <v>1838</v>
      </c>
      <c r="K35" s="13">
        <f t="shared" si="3"/>
        <v>7088</v>
      </c>
      <c r="L35" s="13">
        <f t="shared" si="4"/>
        <v>1953.7999999999993</v>
      </c>
      <c r="M35" s="47">
        <f t="shared" si="5"/>
        <v>781.5199999999998</v>
      </c>
      <c r="N35" s="51">
        <f t="shared" si="6"/>
        <v>1172.2799999999995</v>
      </c>
    </row>
    <row r="36" spans="1:14" s="1" customFormat="1" ht="12.75">
      <c r="A36" s="16" t="s">
        <v>47</v>
      </c>
      <c r="B36" s="13">
        <f t="shared" si="11"/>
        <v>6630</v>
      </c>
      <c r="C36" s="13">
        <f t="shared" si="12"/>
        <v>1900</v>
      </c>
      <c r="D36" s="13">
        <f t="shared" si="9"/>
        <v>8530</v>
      </c>
      <c r="E36" s="13">
        <f>(C13*D36)</f>
        <v>511.79999999999995</v>
      </c>
      <c r="F36" s="13">
        <f t="shared" si="10"/>
        <v>9041.8</v>
      </c>
      <c r="G36" s="13">
        <f>IF(I5=6,G35+I9,G35)</f>
        <v>3500</v>
      </c>
      <c r="H36" s="13">
        <f t="shared" si="1"/>
        <v>1750</v>
      </c>
      <c r="I36" s="13">
        <f t="shared" si="2"/>
        <v>5250</v>
      </c>
      <c r="J36" s="13">
        <f>ROUND(F13*I36,0.5)</f>
        <v>1838</v>
      </c>
      <c r="K36" s="13">
        <f t="shared" si="3"/>
        <v>7088</v>
      </c>
      <c r="L36" s="13">
        <f t="shared" si="4"/>
        <v>1953.7999999999993</v>
      </c>
      <c r="M36" s="47">
        <f t="shared" si="5"/>
        <v>781.5199999999998</v>
      </c>
      <c r="N36" s="51">
        <f t="shared" si="6"/>
        <v>1172.2799999999995</v>
      </c>
    </row>
    <row r="37" spans="1:14" s="1" customFormat="1" ht="12.75">
      <c r="A37" s="16" t="s">
        <v>7</v>
      </c>
      <c r="B37" s="13">
        <f>CEILING((J10*D36)+B36,10)</f>
        <v>6890</v>
      </c>
      <c r="C37" s="13">
        <f t="shared" si="12"/>
        <v>1900</v>
      </c>
      <c r="D37" s="13">
        <f t="shared" si="9"/>
        <v>8790</v>
      </c>
      <c r="E37" s="13">
        <f>(C14*D37)</f>
        <v>791.1</v>
      </c>
      <c r="F37" s="13">
        <f t="shared" si="10"/>
        <v>9581.1</v>
      </c>
      <c r="G37" s="13">
        <f>IF(I5=7,G36+I9,G36)</f>
        <v>3500</v>
      </c>
      <c r="H37" s="13">
        <f t="shared" si="1"/>
        <v>1750</v>
      </c>
      <c r="I37" s="13">
        <f t="shared" si="2"/>
        <v>5250</v>
      </c>
      <c r="J37" s="13">
        <f>ROUND(F14*I37,0.5)</f>
        <v>2153</v>
      </c>
      <c r="K37" s="13">
        <f t="shared" si="3"/>
        <v>7403</v>
      </c>
      <c r="L37" s="13">
        <f t="shared" si="4"/>
        <v>2178.1000000000004</v>
      </c>
      <c r="M37" s="47">
        <f t="shared" si="5"/>
        <v>871.2400000000002</v>
      </c>
      <c r="N37" s="51">
        <f t="shared" si="6"/>
        <v>1306.8600000000001</v>
      </c>
    </row>
    <row r="38" spans="1:14" s="1" customFormat="1" ht="12.75">
      <c r="A38" s="16" t="s">
        <v>48</v>
      </c>
      <c r="B38" s="13">
        <f>B37</f>
        <v>6890</v>
      </c>
      <c r="C38" s="13">
        <f t="shared" si="12"/>
        <v>1900</v>
      </c>
      <c r="D38" s="13">
        <f t="shared" si="9"/>
        <v>8790</v>
      </c>
      <c r="E38" s="13">
        <f>(C14*D38)</f>
        <v>791.1</v>
      </c>
      <c r="F38" s="13">
        <f t="shared" si="10"/>
        <v>9581.1</v>
      </c>
      <c r="G38" s="13">
        <f>IF(I5=8,G37+I9,G37)</f>
        <v>3575</v>
      </c>
      <c r="H38" s="13">
        <f t="shared" si="1"/>
        <v>1788</v>
      </c>
      <c r="I38" s="13">
        <f t="shared" si="2"/>
        <v>5363</v>
      </c>
      <c r="J38" s="13">
        <f>ROUND(F14*I38,0.5)</f>
        <v>2199</v>
      </c>
      <c r="K38" s="13">
        <f t="shared" si="3"/>
        <v>7562</v>
      </c>
      <c r="L38" s="13">
        <f t="shared" si="4"/>
        <v>2019.1000000000004</v>
      </c>
      <c r="M38" s="47">
        <f t="shared" si="5"/>
        <v>807.6400000000002</v>
      </c>
      <c r="N38" s="51">
        <f t="shared" si="6"/>
        <v>1211.4600000000003</v>
      </c>
    </row>
    <row r="39" spans="1:14" ht="12.75">
      <c r="A39" s="16" t="s">
        <v>53</v>
      </c>
      <c r="B39" s="13">
        <f>B38</f>
        <v>6890</v>
      </c>
      <c r="C39" s="13">
        <f t="shared" si="12"/>
        <v>1900</v>
      </c>
      <c r="D39" s="13">
        <f t="shared" si="9"/>
        <v>8790</v>
      </c>
      <c r="E39" s="13">
        <f>(C14*D39)</f>
        <v>791.1</v>
      </c>
      <c r="F39" s="13">
        <f t="shared" si="10"/>
        <v>9581.1</v>
      </c>
      <c r="G39" s="13">
        <f>IF(I5=9,G38+I9,G38)</f>
        <v>3575</v>
      </c>
      <c r="H39" s="13">
        <f t="shared" si="1"/>
        <v>1788</v>
      </c>
      <c r="I39" s="13">
        <f t="shared" si="2"/>
        <v>5363</v>
      </c>
      <c r="J39" s="13">
        <f>ROUND(F14*I39,0.5)</f>
        <v>2199</v>
      </c>
      <c r="K39" s="13">
        <f t="shared" si="3"/>
        <v>7562</v>
      </c>
      <c r="L39" s="13">
        <f t="shared" si="4"/>
        <v>2019.1000000000004</v>
      </c>
      <c r="M39" s="47">
        <f t="shared" si="5"/>
        <v>807.6400000000002</v>
      </c>
      <c r="N39" s="51">
        <f t="shared" si="6"/>
        <v>1211.4600000000003</v>
      </c>
    </row>
    <row r="40" spans="1:14" ht="12.75">
      <c r="A40" s="16" t="s">
        <v>29</v>
      </c>
      <c r="B40" s="13">
        <f>(J13*D39)+B39</f>
        <v>6890</v>
      </c>
      <c r="C40" s="13">
        <f t="shared" si="12"/>
        <v>1900</v>
      </c>
      <c r="D40" s="13">
        <f t="shared" si="9"/>
        <v>8790</v>
      </c>
      <c r="E40" s="13">
        <f>(C14*D40)</f>
        <v>791.1</v>
      </c>
      <c r="F40" s="13">
        <f t="shared" si="10"/>
        <v>9581.1</v>
      </c>
      <c r="G40" s="13">
        <f>IF(I5=10,G39+I9,G39)</f>
        <v>3575</v>
      </c>
      <c r="H40" s="13">
        <f t="shared" si="1"/>
        <v>1788</v>
      </c>
      <c r="I40" s="13">
        <f t="shared" si="2"/>
        <v>5363</v>
      </c>
      <c r="J40" s="13">
        <f>ROUND(F14*I40,0.5)</f>
        <v>2199</v>
      </c>
      <c r="K40" s="13">
        <f t="shared" si="3"/>
        <v>7562</v>
      </c>
      <c r="L40" s="13">
        <f t="shared" si="4"/>
        <v>2019.1000000000004</v>
      </c>
      <c r="M40" s="47">
        <f t="shared" si="5"/>
        <v>807.6400000000002</v>
      </c>
      <c r="N40" s="51">
        <f t="shared" si="6"/>
        <v>1211.4600000000003</v>
      </c>
    </row>
    <row r="41" spans="1:14" ht="12.75">
      <c r="A41" s="16" t="s">
        <v>30</v>
      </c>
      <c r="B41" s="13">
        <f>(J14*D40)+B40</f>
        <v>6890</v>
      </c>
      <c r="C41" s="13">
        <f t="shared" si="12"/>
        <v>1900</v>
      </c>
      <c r="D41" s="13">
        <f t="shared" si="9"/>
        <v>8790</v>
      </c>
      <c r="E41" s="13">
        <f>(C14*D41)</f>
        <v>791.1</v>
      </c>
      <c r="F41" s="13">
        <f t="shared" si="10"/>
        <v>9581.1</v>
      </c>
      <c r="G41" s="13">
        <f>IF(I5=11,G40+I9,G40)</f>
        <v>3575</v>
      </c>
      <c r="H41" s="13">
        <f t="shared" si="1"/>
        <v>1788</v>
      </c>
      <c r="I41" s="13">
        <f t="shared" si="2"/>
        <v>5363</v>
      </c>
      <c r="J41" s="13">
        <f>ROUND(F14*I41,0.5)</f>
        <v>2199</v>
      </c>
      <c r="K41" s="13">
        <f t="shared" si="3"/>
        <v>7562</v>
      </c>
      <c r="L41" s="13">
        <f t="shared" si="4"/>
        <v>2019.1000000000004</v>
      </c>
      <c r="M41" s="47">
        <f t="shared" si="5"/>
        <v>807.6400000000002</v>
      </c>
      <c r="N41" s="51">
        <f t="shared" si="6"/>
        <v>1211.4600000000003</v>
      </c>
    </row>
    <row r="42" spans="1:14" ht="12.75">
      <c r="A42" s="16" t="s">
        <v>31</v>
      </c>
      <c r="B42" s="13">
        <f>(J15*D41)+B41</f>
        <v>6890</v>
      </c>
      <c r="C42" s="13">
        <f t="shared" si="12"/>
        <v>1900</v>
      </c>
      <c r="D42" s="13">
        <f t="shared" si="9"/>
        <v>8790</v>
      </c>
      <c r="E42" s="13">
        <f>(C14*D42)</f>
        <v>791.1</v>
      </c>
      <c r="F42" s="13">
        <f t="shared" si="10"/>
        <v>9581.1</v>
      </c>
      <c r="G42" s="13">
        <f>IF(I5=12,G41+I9,G41)</f>
        <v>3575</v>
      </c>
      <c r="H42" s="13">
        <f t="shared" si="1"/>
        <v>1788</v>
      </c>
      <c r="I42" s="13">
        <f t="shared" si="2"/>
        <v>5363</v>
      </c>
      <c r="J42" s="13">
        <f>ROUND(F14*I42,0.5)</f>
        <v>2199</v>
      </c>
      <c r="K42" s="13">
        <f t="shared" si="3"/>
        <v>7562</v>
      </c>
      <c r="L42" s="13">
        <f t="shared" si="4"/>
        <v>2019.1000000000004</v>
      </c>
      <c r="M42" s="47">
        <f t="shared" si="5"/>
        <v>807.6400000000002</v>
      </c>
      <c r="N42" s="51">
        <f t="shared" si="6"/>
        <v>1211.4600000000003</v>
      </c>
    </row>
    <row r="43" spans="1:14" ht="12.75">
      <c r="A43" s="16" t="s">
        <v>8</v>
      </c>
      <c r="B43" s="13">
        <f>(B42)</f>
        <v>6890</v>
      </c>
      <c r="C43" s="13">
        <f t="shared" si="12"/>
        <v>1900</v>
      </c>
      <c r="D43" s="13">
        <f t="shared" si="9"/>
        <v>8790</v>
      </c>
      <c r="E43" s="13">
        <f>(C15*D43)</f>
        <v>1054.8</v>
      </c>
      <c r="F43" s="13">
        <f t="shared" si="10"/>
        <v>9844.8</v>
      </c>
      <c r="G43" s="13">
        <f>IF(I5=1,175+G42,G42)</f>
        <v>3575</v>
      </c>
      <c r="H43" s="13">
        <f t="shared" si="1"/>
        <v>1788</v>
      </c>
      <c r="I43" s="13">
        <f t="shared" si="2"/>
        <v>5363</v>
      </c>
      <c r="J43" s="13">
        <f>ROUND(F15*I43,0.5)</f>
        <v>2521</v>
      </c>
      <c r="K43" s="13">
        <f t="shared" si="3"/>
        <v>7884</v>
      </c>
      <c r="L43" s="13">
        <f t="shared" si="4"/>
        <v>1960.7999999999993</v>
      </c>
      <c r="M43" s="47">
        <f t="shared" si="5"/>
        <v>784.3199999999997</v>
      </c>
      <c r="N43" s="51">
        <f t="shared" si="6"/>
        <v>1176.4799999999996</v>
      </c>
    </row>
    <row r="44" spans="1:14" ht="12.75">
      <c r="A44" s="16" t="s">
        <v>32</v>
      </c>
      <c r="B44" s="13">
        <f>(J17*D43)+B43</f>
        <v>6890</v>
      </c>
      <c r="C44" s="13">
        <f t="shared" si="12"/>
        <v>1900</v>
      </c>
      <c r="D44" s="13">
        <f t="shared" si="9"/>
        <v>8790</v>
      </c>
      <c r="E44" s="13">
        <f>(C15*D44)</f>
        <v>1054.8</v>
      </c>
      <c r="F44" s="13">
        <f t="shared" si="10"/>
        <v>9844.8</v>
      </c>
      <c r="G44" s="13">
        <f>IF(I5=2,G32+I9,G43)</f>
        <v>3575</v>
      </c>
      <c r="H44" s="13">
        <f t="shared" si="1"/>
        <v>1788</v>
      </c>
      <c r="I44" s="13">
        <f t="shared" si="2"/>
        <v>5363</v>
      </c>
      <c r="J44" s="13">
        <f>ROUND(F15*I44,0.5)</f>
        <v>2521</v>
      </c>
      <c r="K44" s="13">
        <f t="shared" si="3"/>
        <v>7884</v>
      </c>
      <c r="L44" s="13">
        <f t="shared" si="4"/>
        <v>1960.7999999999993</v>
      </c>
      <c r="M44" s="47">
        <f t="shared" si="5"/>
        <v>784.3199999999997</v>
      </c>
      <c r="N44" s="51">
        <f t="shared" si="6"/>
        <v>1176.4799999999996</v>
      </c>
    </row>
    <row r="45" spans="1:14" ht="12.75">
      <c r="A45" s="16" t="s">
        <v>33</v>
      </c>
      <c r="B45" s="13">
        <f>(J17*D43)+B44</f>
        <v>6890</v>
      </c>
      <c r="C45" s="13">
        <f t="shared" si="12"/>
        <v>1900</v>
      </c>
      <c r="D45" s="13">
        <f t="shared" si="9"/>
        <v>8790</v>
      </c>
      <c r="E45" s="13">
        <f>(C15*D45)</f>
        <v>1054.8</v>
      </c>
      <c r="F45" s="13">
        <f t="shared" si="10"/>
        <v>9844.8</v>
      </c>
      <c r="G45" s="13">
        <f>IF(I5=3,G44+I9,G44)</f>
        <v>3575</v>
      </c>
      <c r="H45" s="13">
        <f t="shared" si="1"/>
        <v>1788</v>
      </c>
      <c r="I45" s="13">
        <f t="shared" si="2"/>
        <v>5363</v>
      </c>
      <c r="J45" s="13">
        <f>ROUND(F15*I45,0.5)</f>
        <v>2521</v>
      </c>
      <c r="K45" s="13">
        <f t="shared" si="3"/>
        <v>7884</v>
      </c>
      <c r="L45" s="13">
        <f t="shared" si="4"/>
        <v>1960.7999999999993</v>
      </c>
      <c r="M45" s="47">
        <f t="shared" si="5"/>
        <v>784.3199999999997</v>
      </c>
      <c r="N45" s="51">
        <f t="shared" si="6"/>
        <v>1176.4799999999996</v>
      </c>
    </row>
    <row r="46" spans="1:14" ht="12.75">
      <c r="A46" s="16" t="s">
        <v>49</v>
      </c>
      <c r="B46" s="13">
        <f>(J17*D45)+B45</f>
        <v>6890</v>
      </c>
      <c r="C46" s="13">
        <f t="shared" si="12"/>
        <v>1900</v>
      </c>
      <c r="D46" s="13">
        <f>(B46+C46)</f>
        <v>8790</v>
      </c>
      <c r="E46" s="13">
        <f>(C15*D46)</f>
        <v>1054.8</v>
      </c>
      <c r="F46" s="13">
        <f t="shared" si="10"/>
        <v>9844.8</v>
      </c>
      <c r="G46" s="13">
        <f>IF(I5=4,G45+I9,G45)</f>
        <v>3575</v>
      </c>
      <c r="H46" s="13">
        <f t="shared" si="1"/>
        <v>1788</v>
      </c>
      <c r="I46" s="13">
        <f t="shared" si="2"/>
        <v>5363</v>
      </c>
      <c r="J46" s="13">
        <f>ROUND(F15*I46,0.5)</f>
        <v>2521</v>
      </c>
      <c r="K46" s="13">
        <f t="shared" si="3"/>
        <v>7884</v>
      </c>
      <c r="L46" s="13">
        <f t="shared" si="4"/>
        <v>1960.7999999999993</v>
      </c>
      <c r="M46" s="47">
        <f t="shared" si="5"/>
        <v>784.3199999999997</v>
      </c>
      <c r="N46" s="51">
        <f t="shared" si="6"/>
        <v>1176.4799999999996</v>
      </c>
    </row>
    <row r="47" spans="1:14" ht="12.75">
      <c r="A47" s="16" t="s">
        <v>40</v>
      </c>
      <c r="B47" s="13">
        <f>(J17*D46)+B46</f>
        <v>6890</v>
      </c>
      <c r="C47" s="13">
        <f t="shared" si="12"/>
        <v>1900</v>
      </c>
      <c r="D47" s="13">
        <f>(B47+C47)</f>
        <v>8790</v>
      </c>
      <c r="E47" s="13">
        <f>(C15*D47)</f>
        <v>1054.8</v>
      </c>
      <c r="F47" s="13">
        <f>(D47+E46)</f>
        <v>9844.8</v>
      </c>
      <c r="G47" s="13">
        <f>+IF(I5=5,G46+I9,G46)</f>
        <v>3575</v>
      </c>
      <c r="H47" s="13">
        <f t="shared" si="1"/>
        <v>1788</v>
      </c>
      <c r="I47" s="13">
        <f t="shared" si="2"/>
        <v>5363</v>
      </c>
      <c r="J47" s="13">
        <f>ROUND(F15*I47,0.5)</f>
        <v>2521</v>
      </c>
      <c r="K47" s="13">
        <f t="shared" si="3"/>
        <v>7884</v>
      </c>
      <c r="L47" s="13">
        <f t="shared" si="4"/>
        <v>1960.7999999999993</v>
      </c>
      <c r="M47" s="47">
        <f t="shared" si="5"/>
        <v>784.3199999999997</v>
      </c>
      <c r="N47" s="51">
        <f t="shared" si="6"/>
        <v>1176.4799999999996</v>
      </c>
    </row>
    <row r="48" spans="1:14" ht="12.75">
      <c r="A48" s="16" t="s">
        <v>54</v>
      </c>
      <c r="B48" s="13">
        <f>(J17*D47)+B47</f>
        <v>6890</v>
      </c>
      <c r="C48" s="13">
        <f t="shared" si="12"/>
        <v>1900</v>
      </c>
      <c r="D48" s="13">
        <f>(B48+C48)</f>
        <v>8790</v>
      </c>
      <c r="E48" s="13">
        <f>(C15*D48)</f>
        <v>1054.8</v>
      </c>
      <c r="F48" s="13">
        <f>(D48+E48)</f>
        <v>9844.8</v>
      </c>
      <c r="G48" s="13">
        <f>IF(I5=6,G47+I9,G47)</f>
        <v>3575</v>
      </c>
      <c r="H48" s="13">
        <f t="shared" si="1"/>
        <v>1788</v>
      </c>
      <c r="I48" s="13">
        <f t="shared" si="2"/>
        <v>5363</v>
      </c>
      <c r="J48" s="13">
        <f>ROUND(F15*I48,0.5)</f>
        <v>2521</v>
      </c>
      <c r="K48" s="13">
        <f t="shared" si="3"/>
        <v>7884</v>
      </c>
      <c r="L48" s="13">
        <f t="shared" si="4"/>
        <v>1960.7999999999993</v>
      </c>
      <c r="M48" s="47">
        <f t="shared" si="5"/>
        <v>784.3199999999997</v>
      </c>
      <c r="N48" s="51">
        <f t="shared" si="6"/>
        <v>1176.4799999999996</v>
      </c>
    </row>
    <row r="49" spans="1:14" ht="12.75">
      <c r="A49" s="16" t="s">
        <v>55</v>
      </c>
      <c r="B49" s="13">
        <f>CEILING((D48*J10+B48),10)</f>
        <v>7160</v>
      </c>
      <c r="C49" s="13">
        <f t="shared" si="12"/>
        <v>1900</v>
      </c>
      <c r="D49" s="13">
        <f>(B49+C49)</f>
        <v>9060</v>
      </c>
      <c r="E49" s="13">
        <f>(C16*D49)</f>
        <v>1449.6000000000001</v>
      </c>
      <c r="F49" s="13">
        <f>(D49+E49)</f>
        <v>10509.6</v>
      </c>
      <c r="G49" s="13">
        <f>IF(I5=7,G48+I9,G48)</f>
        <v>3575</v>
      </c>
      <c r="H49" s="13">
        <f t="shared" si="1"/>
        <v>1788</v>
      </c>
      <c r="I49" s="13">
        <f t="shared" si="2"/>
        <v>5363</v>
      </c>
      <c r="J49" s="13">
        <f>ROUND(F15*I49,0.5)</f>
        <v>2521</v>
      </c>
      <c r="K49" s="13">
        <f t="shared" si="3"/>
        <v>7884</v>
      </c>
      <c r="L49" s="13">
        <f t="shared" si="4"/>
        <v>2625.6000000000004</v>
      </c>
      <c r="M49" s="47">
        <f t="shared" si="5"/>
        <v>1050.2400000000002</v>
      </c>
      <c r="N49" s="50">
        <f t="shared" si="6"/>
        <v>1575.3600000000001</v>
      </c>
    </row>
    <row r="50" spans="1:14" ht="12.75">
      <c r="A50" s="16" t="s">
        <v>50</v>
      </c>
      <c r="B50" s="13">
        <f>B49</f>
        <v>7160</v>
      </c>
      <c r="C50" s="13">
        <f t="shared" si="12"/>
        <v>1900</v>
      </c>
      <c r="D50" s="13">
        <f>(B50+C50)</f>
        <v>9060</v>
      </c>
      <c r="E50" s="13">
        <f>(C16*D50)</f>
        <v>1449.6000000000001</v>
      </c>
      <c r="F50" s="13">
        <f>(D50+E50)</f>
        <v>10509.6</v>
      </c>
      <c r="G50" s="13">
        <f>IF(I5=8,G49+I9,G49)</f>
        <v>3650</v>
      </c>
      <c r="H50" s="13">
        <f t="shared" si="1"/>
        <v>1825</v>
      </c>
      <c r="I50" s="13">
        <f t="shared" si="2"/>
        <v>5475</v>
      </c>
      <c r="J50" s="13">
        <f>ROUND(F15*I50,0.5)</f>
        <v>2573</v>
      </c>
      <c r="K50" s="13">
        <f t="shared" si="3"/>
        <v>8048</v>
      </c>
      <c r="L50" s="13">
        <f t="shared" si="4"/>
        <v>2461.6000000000004</v>
      </c>
      <c r="M50" s="47">
        <f t="shared" si="5"/>
        <v>984.6400000000002</v>
      </c>
      <c r="N50" s="50">
        <f t="shared" si="6"/>
        <v>1476.9600000000003</v>
      </c>
    </row>
    <row r="51" spans="1:14" ht="18.75" thickBot="1">
      <c r="A51" s="11"/>
      <c r="B51" s="131" t="s">
        <v>34</v>
      </c>
      <c r="C51" s="131"/>
      <c r="D51" s="131"/>
      <c r="E51" s="42" t="s">
        <v>63</v>
      </c>
      <c r="F51" s="25">
        <f>SUM(F19:F50)</f>
        <v>293708.99999999994</v>
      </c>
      <c r="G51" s="17"/>
      <c r="H51" s="132" t="s">
        <v>64</v>
      </c>
      <c r="I51" s="132"/>
      <c r="J51" s="132"/>
      <c r="K51" s="25">
        <f>SUM(K19:K50)</f>
        <v>229696</v>
      </c>
      <c r="L51" s="25">
        <f>SUM(L19:L50)</f>
        <v>64013</v>
      </c>
      <c r="M51" s="13">
        <f>ROUND(SUM(M19:M50),0.5)</f>
        <v>25605</v>
      </c>
      <c r="N51" s="58">
        <f>ROUND(SUM(N19:N50),0.5)</f>
        <v>38408</v>
      </c>
    </row>
    <row r="52" spans="1:14" ht="13.5" thickBot="1">
      <c r="A52" s="148"/>
      <c r="B52" s="149"/>
      <c r="C52" s="150"/>
      <c r="D52" s="159" t="s">
        <v>62</v>
      </c>
      <c r="E52" s="160"/>
      <c r="F52" s="160"/>
      <c r="G52" s="160"/>
      <c r="H52" s="160"/>
      <c r="I52" s="160"/>
      <c r="J52" s="160"/>
      <c r="K52" s="36">
        <v>0.4</v>
      </c>
      <c r="L52" s="39">
        <f>ROUND(L51*40/100,0.5)</f>
        <v>25605</v>
      </c>
      <c r="M52" s="145"/>
      <c r="N52" s="146"/>
    </row>
    <row r="53" spans="1:14" ht="12.75">
      <c r="A53" s="151"/>
      <c r="B53" s="152"/>
      <c r="C53" s="146"/>
      <c r="D53" s="30" t="s">
        <v>35</v>
      </c>
      <c r="E53" s="24" t="s">
        <v>51</v>
      </c>
      <c r="F53" s="24" t="s">
        <v>36</v>
      </c>
      <c r="G53" s="24" t="s">
        <v>12</v>
      </c>
      <c r="H53" s="24" t="s">
        <v>37</v>
      </c>
      <c r="I53" s="24" t="s">
        <v>38</v>
      </c>
      <c r="J53" s="34" t="s">
        <v>56</v>
      </c>
      <c r="K53" s="37">
        <v>0.6</v>
      </c>
      <c r="L53" s="40">
        <f>ROUND(L51*60/100,0.5)</f>
        <v>38408</v>
      </c>
      <c r="M53" s="147"/>
      <c r="N53" s="146"/>
    </row>
    <row r="54" spans="1:14" ht="13.5" thickBot="1">
      <c r="A54" s="153"/>
      <c r="B54" s="154"/>
      <c r="C54" s="144"/>
      <c r="D54" s="31">
        <f>B50</f>
        <v>7160</v>
      </c>
      <c r="E54" s="32">
        <f>C50</f>
        <v>1900</v>
      </c>
      <c r="F54" s="32">
        <f>SUM(D54:E54)</f>
        <v>9060</v>
      </c>
      <c r="G54" s="33">
        <f>ROUND(F54*C16,0.5)</f>
        <v>1450</v>
      </c>
      <c r="H54" s="32">
        <f>IF(I7=1,0,ROUND(I8*C16+I8,0.5))</f>
        <v>1392</v>
      </c>
      <c r="I54" s="32">
        <f>IF(I6=1,0,ROUND(I4*F54,0.5))</f>
        <v>0</v>
      </c>
      <c r="J54" s="35">
        <f>SUM(F54:I54)</f>
        <v>11902</v>
      </c>
      <c r="K54" s="38" t="s">
        <v>81</v>
      </c>
      <c r="L54" s="41">
        <f>SUM(L52:L53)</f>
        <v>64013</v>
      </c>
      <c r="M54" s="147"/>
      <c r="N54" s="146"/>
    </row>
    <row r="55" spans="1:14" ht="13.5" thickBo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4"/>
    </row>
    <row r="57" ht="12.75">
      <c r="C57" s="12"/>
    </row>
    <row r="76" ht="12.75">
      <c r="G76" s="2"/>
    </row>
  </sheetData>
  <sheetProtection sheet="1" objects="1" scenarios="1"/>
  <mergeCells count="21">
    <mergeCell ref="A55:N55"/>
    <mergeCell ref="M52:N54"/>
    <mergeCell ref="A52:C54"/>
    <mergeCell ref="A8:H8"/>
    <mergeCell ref="G10:I10"/>
    <mergeCell ref="D10:D16"/>
    <mergeCell ref="D52:J52"/>
    <mergeCell ref="A9:C9"/>
    <mergeCell ref="A17:F17"/>
    <mergeCell ref="B51:D51"/>
    <mergeCell ref="H51:J51"/>
    <mergeCell ref="A10:A16"/>
    <mergeCell ref="G17:L17"/>
    <mergeCell ref="A1:N1"/>
    <mergeCell ref="A6:H6"/>
    <mergeCell ref="A7:H7"/>
    <mergeCell ref="K2:M2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22">
      <selection activeCell="D41" sqref="D41"/>
    </sheetView>
  </sheetViews>
  <sheetFormatPr defaultColWidth="9.140625" defaultRowHeight="12.75"/>
  <cols>
    <col min="2" max="2" width="8.8515625" style="0" customWidth="1"/>
    <col min="3" max="3" width="8.421875" style="0" customWidth="1"/>
    <col min="4" max="4" width="9.57421875" style="0" customWidth="1"/>
    <col min="5" max="5" width="9.7109375" style="0" customWidth="1"/>
    <col min="7" max="7" width="8.7109375" style="0" customWidth="1"/>
    <col min="9" max="9" width="9.8515625" style="0" customWidth="1"/>
    <col min="11" max="11" width="11.00390625" style="0" customWidth="1"/>
    <col min="18" max="18" width="10.8515625" style="0" customWidth="1"/>
  </cols>
  <sheetData>
    <row r="1" spans="1:11" ht="16.5" customHeight="1" thickBot="1">
      <c r="A1" s="166" t="s">
        <v>75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6.5" customHeight="1" thickBot="1">
      <c r="A2" s="89"/>
      <c r="B2" s="90"/>
      <c r="C2" s="90"/>
      <c r="D2" s="90"/>
      <c r="E2" s="184" t="s">
        <v>83</v>
      </c>
      <c r="F2" s="185"/>
      <c r="G2" s="185"/>
      <c r="H2" s="185"/>
      <c r="I2" s="90"/>
      <c r="J2" s="90"/>
      <c r="K2" s="91"/>
    </row>
    <row r="3" spans="1:11" ht="12.75" customHeight="1">
      <c r="A3" s="169" t="s">
        <v>70</v>
      </c>
      <c r="B3" s="172" t="s">
        <v>71</v>
      </c>
      <c r="C3" s="172" t="s">
        <v>69</v>
      </c>
      <c r="D3" s="181" t="s">
        <v>72</v>
      </c>
      <c r="E3" s="172" t="s">
        <v>68</v>
      </c>
      <c r="F3" s="175" t="s">
        <v>91</v>
      </c>
      <c r="G3" s="178" t="s">
        <v>90</v>
      </c>
      <c r="H3" s="172" t="s">
        <v>67</v>
      </c>
      <c r="I3" s="172" t="s">
        <v>74</v>
      </c>
      <c r="J3" s="172" t="s">
        <v>92</v>
      </c>
      <c r="K3" s="178" t="s">
        <v>73</v>
      </c>
    </row>
    <row r="4" spans="1:11" ht="12.75">
      <c r="A4" s="170"/>
      <c r="B4" s="173"/>
      <c r="C4" s="173"/>
      <c r="D4" s="182"/>
      <c r="E4" s="173"/>
      <c r="F4" s="176"/>
      <c r="G4" s="179"/>
      <c r="H4" s="173"/>
      <c r="I4" s="187"/>
      <c r="J4" s="187"/>
      <c r="K4" s="179"/>
    </row>
    <row r="5" spans="1:12" s="57" customFormat="1" ht="12.75" customHeight="1">
      <c r="A5" s="170"/>
      <c r="B5" s="173"/>
      <c r="C5" s="173"/>
      <c r="D5" s="182"/>
      <c r="E5" s="173"/>
      <c r="F5" s="176"/>
      <c r="G5" s="179"/>
      <c r="H5" s="173"/>
      <c r="I5" s="187"/>
      <c r="J5" s="187"/>
      <c r="K5" s="179"/>
      <c r="L5" s="65"/>
    </row>
    <row r="6" spans="1:12" s="57" customFormat="1" ht="13.5" thickBot="1">
      <c r="A6" s="171"/>
      <c r="B6" s="174"/>
      <c r="C6" s="174"/>
      <c r="D6" s="183"/>
      <c r="E6" s="174"/>
      <c r="F6" s="177"/>
      <c r="G6" s="180"/>
      <c r="H6" s="174"/>
      <c r="I6" s="188"/>
      <c r="J6" s="188"/>
      <c r="K6" s="186"/>
      <c r="L6" s="65"/>
    </row>
    <row r="7" spans="1:20" ht="20.25">
      <c r="A7" s="68" t="s">
        <v>16</v>
      </c>
      <c r="B7" s="59">
        <f>Sheet1!D19</f>
        <v>8280</v>
      </c>
      <c r="C7" s="59">
        <f>CEILING(6%*B7+0.5,100)</f>
        <v>500</v>
      </c>
      <c r="D7" s="59">
        <f>Sheet1!I19</f>
        <v>5138</v>
      </c>
      <c r="E7" s="62">
        <f>CEILING(6%*D7+0.5,100)</f>
        <v>400</v>
      </c>
      <c r="F7" s="109">
        <v>800</v>
      </c>
      <c r="G7" s="110">
        <v>0</v>
      </c>
      <c r="H7" s="59">
        <f>MAX(C7-F7,G7)</f>
        <v>0</v>
      </c>
      <c r="I7" s="74">
        <f>Sheet1!M19</f>
        <v>763.6</v>
      </c>
      <c r="J7" s="60">
        <f>(I7-H7)</f>
        <v>763.6</v>
      </c>
      <c r="K7" s="112"/>
      <c r="L7" s="66"/>
      <c r="M7" s="59"/>
      <c r="N7" s="59"/>
      <c r="O7" s="60"/>
      <c r="P7" s="61"/>
      <c r="R7" s="45"/>
      <c r="T7" s="45"/>
    </row>
    <row r="8" spans="1:20" ht="12.75">
      <c r="A8" s="69" t="s">
        <v>19</v>
      </c>
      <c r="B8" s="13">
        <f>Sheet1!D20</f>
        <v>8280</v>
      </c>
      <c r="C8" s="13">
        <f aca="true" t="shared" si="0" ref="C8:C38">CEILING(6%*B8+0.5,100)</f>
        <v>500</v>
      </c>
      <c r="D8" s="59">
        <f>Sheet1!I20</f>
        <v>5138</v>
      </c>
      <c r="E8" s="62">
        <f aca="true" t="shared" si="1" ref="E8:E38">CEILING(6%*D8+0.5,100)</f>
        <v>400</v>
      </c>
      <c r="F8" s="109">
        <v>600</v>
      </c>
      <c r="G8" s="110">
        <v>0</v>
      </c>
      <c r="H8" s="59">
        <f aca="true" t="shared" si="2" ref="H8:H38">MAX(C8-F8,G8)</f>
        <v>0</v>
      </c>
      <c r="I8" s="74">
        <f>Sheet1!M20</f>
        <v>763.6</v>
      </c>
      <c r="J8" s="60">
        <f aca="true" t="shared" si="3" ref="J8:J38">(I8-H8)</f>
        <v>763.6</v>
      </c>
      <c r="K8" s="113"/>
      <c r="L8" s="67"/>
      <c r="M8" s="13"/>
      <c r="N8" s="13"/>
      <c r="O8" s="43"/>
      <c r="P8" s="44"/>
      <c r="R8" s="45"/>
      <c r="T8" s="45"/>
    </row>
    <row r="9" spans="1:21" ht="12.75">
      <c r="A9" s="69" t="s">
        <v>21</v>
      </c>
      <c r="B9" s="13">
        <f>Sheet1!D21</f>
        <v>8280</v>
      </c>
      <c r="C9" s="13">
        <f t="shared" si="0"/>
        <v>500</v>
      </c>
      <c r="D9" s="59">
        <f>Sheet1!I21</f>
        <v>5138</v>
      </c>
      <c r="E9" s="62">
        <f t="shared" si="1"/>
        <v>400</v>
      </c>
      <c r="F9" s="109">
        <v>600</v>
      </c>
      <c r="G9" s="110">
        <v>0</v>
      </c>
      <c r="H9" s="59">
        <f t="shared" si="2"/>
        <v>0</v>
      </c>
      <c r="I9" s="74">
        <f>Sheet1!M21</f>
        <v>763.6</v>
      </c>
      <c r="J9" s="60">
        <f t="shared" si="3"/>
        <v>763.6</v>
      </c>
      <c r="K9" s="113"/>
      <c r="L9" s="67"/>
      <c r="M9" s="13"/>
      <c r="N9" s="13"/>
      <c r="O9" s="43"/>
      <c r="P9" s="44"/>
      <c r="R9" s="45"/>
      <c r="T9" s="45"/>
      <c r="U9" s="45"/>
    </row>
    <row r="10" spans="1:21" ht="12.75">
      <c r="A10" s="69" t="s">
        <v>43</v>
      </c>
      <c r="B10" s="13">
        <f>Sheet1!D22</f>
        <v>8280</v>
      </c>
      <c r="C10" s="13">
        <f t="shared" si="0"/>
        <v>500</v>
      </c>
      <c r="D10" s="59">
        <f>Sheet1!I22</f>
        <v>5138</v>
      </c>
      <c r="E10" s="62">
        <f t="shared" si="1"/>
        <v>400</v>
      </c>
      <c r="F10" s="109">
        <v>600</v>
      </c>
      <c r="G10" s="110">
        <v>0</v>
      </c>
      <c r="H10" s="59">
        <f t="shared" si="2"/>
        <v>0</v>
      </c>
      <c r="I10" s="74">
        <f>Sheet1!M22</f>
        <v>763.6</v>
      </c>
      <c r="J10" s="60">
        <f t="shared" si="3"/>
        <v>763.6</v>
      </c>
      <c r="K10" s="113"/>
      <c r="L10" s="67"/>
      <c r="M10" s="13"/>
      <c r="N10" s="13"/>
      <c r="O10" s="43"/>
      <c r="P10" s="44"/>
      <c r="R10" s="45"/>
      <c r="T10" s="45"/>
      <c r="U10" s="45"/>
    </row>
    <row r="11" spans="1:21" ht="12.75">
      <c r="A11" s="69" t="s">
        <v>20</v>
      </c>
      <c r="B11" s="13">
        <f>Sheet1!D23</f>
        <v>8280</v>
      </c>
      <c r="C11" s="13">
        <f t="shared" si="0"/>
        <v>500</v>
      </c>
      <c r="D11" s="59">
        <f>Sheet1!I23</f>
        <v>5138</v>
      </c>
      <c r="E11" s="62">
        <f t="shared" si="1"/>
        <v>400</v>
      </c>
      <c r="F11" s="109">
        <v>700</v>
      </c>
      <c r="G11" s="110">
        <v>0</v>
      </c>
      <c r="H11" s="59">
        <f t="shared" si="2"/>
        <v>0</v>
      </c>
      <c r="I11" s="74">
        <f>Sheet1!M23</f>
        <v>763.6</v>
      </c>
      <c r="J11" s="60">
        <f t="shared" si="3"/>
        <v>763.6</v>
      </c>
      <c r="K11" s="113"/>
      <c r="L11" s="67"/>
      <c r="M11" s="13"/>
      <c r="N11" s="13"/>
      <c r="O11" s="43"/>
      <c r="P11" s="44"/>
      <c r="R11" s="45"/>
      <c r="T11" s="45"/>
      <c r="U11" s="45"/>
    </row>
    <row r="12" spans="1:21" ht="12.75">
      <c r="A12" s="69" t="s">
        <v>44</v>
      </c>
      <c r="B12" s="13">
        <f>Sheet1!D24</f>
        <v>8280</v>
      </c>
      <c r="C12" s="13">
        <f t="shared" si="0"/>
        <v>500</v>
      </c>
      <c r="D12" s="59">
        <f>Sheet1!I24</f>
        <v>5138</v>
      </c>
      <c r="E12" s="62">
        <f t="shared" si="1"/>
        <v>400</v>
      </c>
      <c r="F12" s="109">
        <v>600</v>
      </c>
      <c r="G12" s="110">
        <v>0</v>
      </c>
      <c r="H12" s="59">
        <f t="shared" si="2"/>
        <v>0</v>
      </c>
      <c r="I12" s="74">
        <f>Sheet1!M24</f>
        <v>763.6</v>
      </c>
      <c r="J12" s="60">
        <f t="shared" si="3"/>
        <v>763.6</v>
      </c>
      <c r="K12" s="113"/>
      <c r="L12" s="67"/>
      <c r="M12" s="13"/>
      <c r="N12" s="13"/>
      <c r="O12" s="43"/>
      <c r="P12" s="44"/>
      <c r="R12" s="45"/>
      <c r="T12" s="45"/>
      <c r="U12" s="45"/>
    </row>
    <row r="13" spans="1:21" ht="12.75">
      <c r="A13" s="69" t="s">
        <v>5</v>
      </c>
      <c r="B13" s="13">
        <f>Sheet1!D25</f>
        <v>8530</v>
      </c>
      <c r="C13" s="13">
        <f t="shared" si="0"/>
        <v>600</v>
      </c>
      <c r="D13" s="59">
        <f>Sheet1!I25</f>
        <v>5138</v>
      </c>
      <c r="E13" s="62">
        <f t="shared" si="1"/>
        <v>400</v>
      </c>
      <c r="F13" s="109">
        <v>600</v>
      </c>
      <c r="G13" s="110">
        <v>0</v>
      </c>
      <c r="H13" s="59">
        <f t="shared" si="2"/>
        <v>0</v>
      </c>
      <c r="I13" s="74">
        <f>Sheet1!M25</f>
        <v>829.0400000000002</v>
      </c>
      <c r="J13" s="60">
        <f t="shared" si="3"/>
        <v>829.0400000000002</v>
      </c>
      <c r="K13" s="113"/>
      <c r="L13" s="67"/>
      <c r="M13" s="13"/>
      <c r="N13" s="13"/>
      <c r="O13" s="43"/>
      <c r="P13" s="44"/>
      <c r="R13" s="45"/>
      <c r="T13" s="45"/>
      <c r="U13" s="45"/>
    </row>
    <row r="14" spans="1:20" ht="12.75">
      <c r="A14" s="69" t="s">
        <v>45</v>
      </c>
      <c r="B14" s="13">
        <f>Sheet1!D26</f>
        <v>8530</v>
      </c>
      <c r="C14" s="13">
        <f t="shared" si="0"/>
        <v>600</v>
      </c>
      <c r="D14" s="59">
        <f>Sheet1!I26</f>
        <v>5250</v>
      </c>
      <c r="E14" s="62">
        <f t="shared" si="1"/>
        <v>400</v>
      </c>
      <c r="F14" s="109">
        <v>600</v>
      </c>
      <c r="G14" s="110">
        <v>0</v>
      </c>
      <c r="H14" s="59">
        <f t="shared" si="2"/>
        <v>0</v>
      </c>
      <c r="I14" s="74">
        <f>Sheet1!M26</f>
        <v>771.0400000000002</v>
      </c>
      <c r="J14" s="60">
        <f t="shared" si="3"/>
        <v>771.0400000000002</v>
      </c>
      <c r="K14" s="113"/>
      <c r="L14" s="67"/>
      <c r="M14" s="13"/>
      <c r="N14" s="13"/>
      <c r="O14" s="43"/>
      <c r="P14" s="44"/>
      <c r="R14" s="45"/>
      <c r="T14" s="45"/>
    </row>
    <row r="15" spans="1:20" ht="12.75">
      <c r="A15" s="69" t="s">
        <v>52</v>
      </c>
      <c r="B15" s="13">
        <f>Sheet1!D27</f>
        <v>8530</v>
      </c>
      <c r="C15" s="13">
        <f t="shared" si="0"/>
        <v>600</v>
      </c>
      <c r="D15" s="59">
        <f>Sheet1!I27</f>
        <v>5250</v>
      </c>
      <c r="E15" s="62">
        <f t="shared" si="1"/>
        <v>400</v>
      </c>
      <c r="F15" s="109">
        <v>600</v>
      </c>
      <c r="G15" s="110">
        <v>0</v>
      </c>
      <c r="H15" s="59">
        <f t="shared" si="2"/>
        <v>0</v>
      </c>
      <c r="I15" s="74">
        <f>Sheet1!M27</f>
        <v>771.0400000000002</v>
      </c>
      <c r="J15" s="60">
        <f t="shared" si="3"/>
        <v>771.0400000000002</v>
      </c>
      <c r="K15" s="113"/>
      <c r="L15" s="67"/>
      <c r="M15" s="13"/>
      <c r="N15" s="13"/>
      <c r="O15" s="43"/>
      <c r="P15" s="44"/>
      <c r="R15" s="45"/>
      <c r="T15" s="45"/>
    </row>
    <row r="16" spans="1:20" ht="12.75">
      <c r="A16" s="69" t="s">
        <v>22</v>
      </c>
      <c r="B16" s="13">
        <f>Sheet1!D28</f>
        <v>8530</v>
      </c>
      <c r="C16" s="13">
        <f t="shared" si="0"/>
        <v>600</v>
      </c>
      <c r="D16" s="59">
        <f>Sheet1!I28</f>
        <v>5250</v>
      </c>
      <c r="E16" s="62">
        <f t="shared" si="1"/>
        <v>400</v>
      </c>
      <c r="F16" s="109">
        <v>1000</v>
      </c>
      <c r="G16" s="110">
        <v>0</v>
      </c>
      <c r="H16" s="59">
        <f t="shared" si="2"/>
        <v>0</v>
      </c>
      <c r="I16" s="74">
        <f>Sheet1!M28</f>
        <v>771.0400000000002</v>
      </c>
      <c r="J16" s="60">
        <f t="shared" si="3"/>
        <v>771.0400000000002</v>
      </c>
      <c r="K16" s="113"/>
      <c r="L16" s="67"/>
      <c r="M16" s="13"/>
      <c r="N16" s="13"/>
      <c r="O16" s="43"/>
      <c r="P16" s="44"/>
      <c r="R16" s="45"/>
      <c r="T16" s="45"/>
    </row>
    <row r="17" spans="1:20" ht="12.75">
      <c r="A17" s="69" t="s">
        <v>23</v>
      </c>
      <c r="B17" s="13">
        <f>Sheet1!D29</f>
        <v>8530</v>
      </c>
      <c r="C17" s="13">
        <f t="shared" si="0"/>
        <v>600</v>
      </c>
      <c r="D17" s="59">
        <f>Sheet1!I29</f>
        <v>5250</v>
      </c>
      <c r="E17" s="62">
        <f t="shared" si="1"/>
        <v>400</v>
      </c>
      <c r="F17" s="109">
        <v>600</v>
      </c>
      <c r="G17" s="110">
        <v>0</v>
      </c>
      <c r="H17" s="59">
        <f t="shared" si="2"/>
        <v>0</v>
      </c>
      <c r="I17" s="74">
        <f>Sheet1!M29</f>
        <v>771.0400000000002</v>
      </c>
      <c r="J17" s="60">
        <f t="shared" si="3"/>
        <v>771.0400000000002</v>
      </c>
      <c r="K17" s="113"/>
      <c r="L17" s="67"/>
      <c r="M17" s="13"/>
      <c r="N17" s="13"/>
      <c r="O17" s="43"/>
      <c r="P17" s="44"/>
      <c r="R17" s="45"/>
      <c r="T17" s="45"/>
    </row>
    <row r="18" spans="1:20" ht="12.75">
      <c r="A18" s="69" t="s">
        <v>24</v>
      </c>
      <c r="B18" s="13">
        <f>Sheet1!D30</f>
        <v>8530</v>
      </c>
      <c r="C18" s="13">
        <f t="shared" si="0"/>
        <v>600</v>
      </c>
      <c r="D18" s="59">
        <f>Sheet1!I30</f>
        <v>5250</v>
      </c>
      <c r="E18" s="62">
        <f t="shared" si="1"/>
        <v>400</v>
      </c>
      <c r="F18" s="109">
        <v>600</v>
      </c>
      <c r="G18" s="110">
        <v>0</v>
      </c>
      <c r="H18" s="59">
        <f t="shared" si="2"/>
        <v>0</v>
      </c>
      <c r="I18" s="74">
        <f>Sheet1!M30</f>
        <v>771.0400000000002</v>
      </c>
      <c r="J18" s="60">
        <f t="shared" si="3"/>
        <v>771.0400000000002</v>
      </c>
      <c r="K18" s="113"/>
      <c r="L18" s="67"/>
      <c r="M18" s="13"/>
      <c r="N18" s="13"/>
      <c r="O18" s="43"/>
      <c r="P18" s="44"/>
      <c r="R18" s="45"/>
      <c r="T18" s="45"/>
    </row>
    <row r="19" spans="1:20" ht="12.75">
      <c r="A19" s="69" t="s">
        <v>6</v>
      </c>
      <c r="B19" s="13">
        <f>Sheet1!D31</f>
        <v>8530</v>
      </c>
      <c r="C19" s="13">
        <f t="shared" si="0"/>
        <v>600</v>
      </c>
      <c r="D19" s="59">
        <f>Sheet1!I31</f>
        <v>5250</v>
      </c>
      <c r="E19" s="62">
        <f t="shared" si="1"/>
        <v>400</v>
      </c>
      <c r="F19" s="109">
        <v>600</v>
      </c>
      <c r="G19" s="110">
        <v>0</v>
      </c>
      <c r="H19" s="59">
        <f t="shared" si="2"/>
        <v>0</v>
      </c>
      <c r="I19" s="74">
        <f>Sheet1!M31</f>
        <v>781.5199999999998</v>
      </c>
      <c r="J19" s="60">
        <f t="shared" si="3"/>
        <v>781.5199999999998</v>
      </c>
      <c r="K19" s="113"/>
      <c r="L19" s="67"/>
      <c r="M19" s="13"/>
      <c r="N19" s="13"/>
      <c r="O19" s="43"/>
      <c r="P19" s="44"/>
      <c r="R19" s="45"/>
      <c r="T19" s="45"/>
    </row>
    <row r="20" spans="1:20" ht="12.75">
      <c r="A20" s="69" t="s">
        <v>26</v>
      </c>
      <c r="B20" s="13">
        <f>Sheet1!D32</f>
        <v>8530</v>
      </c>
      <c r="C20" s="13">
        <f t="shared" si="0"/>
        <v>600</v>
      </c>
      <c r="D20" s="59">
        <f>Sheet1!I32</f>
        <v>5250</v>
      </c>
      <c r="E20" s="62">
        <f t="shared" si="1"/>
        <v>400</v>
      </c>
      <c r="F20" s="109">
        <v>600</v>
      </c>
      <c r="G20" s="110">
        <v>0</v>
      </c>
      <c r="H20" s="59">
        <f t="shared" si="2"/>
        <v>0</v>
      </c>
      <c r="I20" s="74">
        <f>Sheet1!M32</f>
        <v>781.5199999999998</v>
      </c>
      <c r="J20" s="60">
        <f t="shared" si="3"/>
        <v>781.5199999999998</v>
      </c>
      <c r="K20" s="113"/>
      <c r="L20" s="67"/>
      <c r="M20" s="13"/>
      <c r="N20" s="13"/>
      <c r="O20" s="43"/>
      <c r="P20" s="44"/>
      <c r="R20" s="45"/>
      <c r="T20" s="45"/>
    </row>
    <row r="21" spans="1:20" ht="12.75">
      <c r="A21" s="69" t="s">
        <v>27</v>
      </c>
      <c r="B21" s="13">
        <f>Sheet1!D33</f>
        <v>8530</v>
      </c>
      <c r="C21" s="13">
        <f t="shared" si="0"/>
        <v>600</v>
      </c>
      <c r="D21" s="59">
        <f>Sheet1!I33</f>
        <v>5250</v>
      </c>
      <c r="E21" s="62">
        <f t="shared" si="1"/>
        <v>400</v>
      </c>
      <c r="F21" s="109">
        <v>600</v>
      </c>
      <c r="G21" s="110">
        <v>0</v>
      </c>
      <c r="H21" s="59">
        <f t="shared" si="2"/>
        <v>0</v>
      </c>
      <c r="I21" s="74">
        <f>Sheet1!M33</f>
        <v>781.5199999999998</v>
      </c>
      <c r="J21" s="60">
        <f t="shared" si="3"/>
        <v>781.5199999999998</v>
      </c>
      <c r="K21" s="113"/>
      <c r="L21" s="67"/>
      <c r="M21" s="13"/>
      <c r="N21" s="13"/>
      <c r="O21" s="43"/>
      <c r="P21" s="44"/>
      <c r="R21" s="45"/>
      <c r="T21" s="45"/>
    </row>
    <row r="22" spans="1:20" ht="12.75">
      <c r="A22" s="69" t="s">
        <v>46</v>
      </c>
      <c r="B22" s="13">
        <f>Sheet1!D34</f>
        <v>8530</v>
      </c>
      <c r="C22" s="13">
        <f t="shared" si="0"/>
        <v>600</v>
      </c>
      <c r="D22" s="59">
        <f>Sheet1!I34</f>
        <v>5250</v>
      </c>
      <c r="E22" s="62">
        <f t="shared" si="1"/>
        <v>400</v>
      </c>
      <c r="F22" s="109">
        <v>600</v>
      </c>
      <c r="G22" s="110">
        <v>0</v>
      </c>
      <c r="H22" s="59">
        <f t="shared" si="2"/>
        <v>0</v>
      </c>
      <c r="I22" s="74">
        <f>Sheet1!M34</f>
        <v>781.5199999999998</v>
      </c>
      <c r="J22" s="60">
        <f t="shared" si="3"/>
        <v>781.5199999999998</v>
      </c>
      <c r="K22" s="113"/>
      <c r="L22" s="67"/>
      <c r="M22" s="13"/>
      <c r="N22" s="13"/>
      <c r="O22" s="43"/>
      <c r="P22" s="44"/>
      <c r="R22" s="45"/>
      <c r="T22" s="45"/>
    </row>
    <row r="23" spans="1:20" ht="12.75">
      <c r="A23" s="69" t="s">
        <v>28</v>
      </c>
      <c r="B23" s="13">
        <f>Sheet1!D35</f>
        <v>8530</v>
      </c>
      <c r="C23" s="13">
        <f t="shared" si="0"/>
        <v>600</v>
      </c>
      <c r="D23" s="59">
        <f>Sheet1!I35</f>
        <v>5250</v>
      </c>
      <c r="E23" s="62">
        <f t="shared" si="1"/>
        <v>400</v>
      </c>
      <c r="F23" s="109">
        <v>600</v>
      </c>
      <c r="G23" s="110">
        <v>0</v>
      </c>
      <c r="H23" s="59">
        <f t="shared" si="2"/>
        <v>0</v>
      </c>
      <c r="I23" s="74">
        <f>Sheet1!M35</f>
        <v>781.5199999999998</v>
      </c>
      <c r="J23" s="60">
        <f t="shared" si="3"/>
        <v>781.5199999999998</v>
      </c>
      <c r="K23" s="113"/>
      <c r="L23" s="67"/>
      <c r="M23" s="13"/>
      <c r="N23" s="13"/>
      <c r="O23" s="43"/>
      <c r="P23" s="44"/>
      <c r="R23" s="45"/>
      <c r="T23" s="45"/>
    </row>
    <row r="24" spans="1:20" ht="12.75">
      <c r="A24" s="69" t="s">
        <v>47</v>
      </c>
      <c r="B24" s="13">
        <f>Sheet1!D36</f>
        <v>8530</v>
      </c>
      <c r="C24" s="13">
        <f t="shared" si="0"/>
        <v>600</v>
      </c>
      <c r="D24" s="59">
        <f>Sheet1!I36</f>
        <v>5250</v>
      </c>
      <c r="E24" s="62">
        <f t="shared" si="1"/>
        <v>400</v>
      </c>
      <c r="F24" s="109">
        <v>600</v>
      </c>
      <c r="G24" s="110">
        <v>0</v>
      </c>
      <c r="H24" s="59">
        <f t="shared" si="2"/>
        <v>0</v>
      </c>
      <c r="I24" s="74">
        <f>Sheet1!M36</f>
        <v>781.5199999999998</v>
      </c>
      <c r="J24" s="60">
        <f t="shared" si="3"/>
        <v>781.5199999999998</v>
      </c>
      <c r="K24" s="113"/>
      <c r="L24" s="67"/>
      <c r="M24" s="13"/>
      <c r="N24" s="13"/>
      <c r="O24" s="43"/>
      <c r="P24" s="44"/>
      <c r="R24" s="45"/>
      <c r="T24" s="45"/>
    </row>
    <row r="25" spans="1:20" ht="12.75">
      <c r="A25" s="69" t="s">
        <v>7</v>
      </c>
      <c r="B25" s="13">
        <f>Sheet1!D37</f>
        <v>8790</v>
      </c>
      <c r="C25" s="13">
        <f t="shared" si="0"/>
        <v>600</v>
      </c>
      <c r="D25" s="59">
        <f>Sheet1!I37</f>
        <v>5250</v>
      </c>
      <c r="E25" s="62">
        <f t="shared" si="1"/>
        <v>400</v>
      </c>
      <c r="F25" s="109">
        <v>600</v>
      </c>
      <c r="G25" s="110">
        <v>0</v>
      </c>
      <c r="H25" s="59">
        <f t="shared" si="2"/>
        <v>0</v>
      </c>
      <c r="I25" s="74">
        <f>Sheet1!M37</f>
        <v>871.2400000000002</v>
      </c>
      <c r="J25" s="60">
        <f t="shared" si="3"/>
        <v>871.2400000000002</v>
      </c>
      <c r="K25" s="113"/>
      <c r="L25" s="67"/>
      <c r="M25" s="13"/>
      <c r="N25" s="13"/>
      <c r="O25" s="43"/>
      <c r="P25" s="44"/>
      <c r="R25" s="45"/>
      <c r="T25" s="45"/>
    </row>
    <row r="26" spans="1:20" ht="12.75">
      <c r="A26" s="69" t="s">
        <v>48</v>
      </c>
      <c r="B26" s="13">
        <f>Sheet1!D38</f>
        <v>8790</v>
      </c>
      <c r="C26" s="13">
        <f t="shared" si="0"/>
        <v>600</v>
      </c>
      <c r="D26" s="59">
        <f>Sheet1!I38</f>
        <v>5363</v>
      </c>
      <c r="E26" s="62">
        <f t="shared" si="1"/>
        <v>400</v>
      </c>
      <c r="F26" s="109">
        <v>600</v>
      </c>
      <c r="G26" s="110">
        <v>0</v>
      </c>
      <c r="H26" s="59">
        <f t="shared" si="2"/>
        <v>0</v>
      </c>
      <c r="I26" s="74">
        <f>Sheet1!M38</f>
        <v>807.6400000000002</v>
      </c>
      <c r="J26" s="60">
        <f t="shared" si="3"/>
        <v>807.6400000000002</v>
      </c>
      <c r="K26" s="113"/>
      <c r="L26" s="67"/>
      <c r="M26" s="13"/>
      <c r="N26" s="13"/>
      <c r="O26" s="43"/>
      <c r="P26" s="44"/>
      <c r="R26" s="45"/>
      <c r="T26" s="45"/>
    </row>
    <row r="27" spans="1:20" ht="12.75">
      <c r="A27" s="69" t="s">
        <v>53</v>
      </c>
      <c r="B27" s="13">
        <f>Sheet1!D39</f>
        <v>8790</v>
      </c>
      <c r="C27" s="13">
        <f t="shared" si="0"/>
        <v>600</v>
      </c>
      <c r="D27" s="59">
        <f>Sheet1!I39</f>
        <v>5363</v>
      </c>
      <c r="E27" s="62">
        <f t="shared" si="1"/>
        <v>400</v>
      </c>
      <c r="F27" s="109">
        <v>600</v>
      </c>
      <c r="G27" s="110">
        <v>0</v>
      </c>
      <c r="H27" s="59">
        <f t="shared" si="2"/>
        <v>0</v>
      </c>
      <c r="I27" s="74">
        <f>Sheet1!M39</f>
        <v>807.6400000000002</v>
      </c>
      <c r="J27" s="60">
        <f t="shared" si="3"/>
        <v>807.6400000000002</v>
      </c>
      <c r="K27" s="113"/>
      <c r="L27" s="67"/>
      <c r="M27" s="13"/>
      <c r="N27" s="13"/>
      <c r="O27" s="43"/>
      <c r="P27" s="44"/>
      <c r="R27" s="45"/>
      <c r="T27" s="45"/>
    </row>
    <row r="28" spans="1:20" ht="12.75">
      <c r="A28" s="69" t="s">
        <v>29</v>
      </c>
      <c r="B28" s="13">
        <f>Sheet1!D40</f>
        <v>8790</v>
      </c>
      <c r="C28" s="13">
        <f t="shared" si="0"/>
        <v>600</v>
      </c>
      <c r="D28" s="59">
        <f>Sheet1!I40</f>
        <v>5363</v>
      </c>
      <c r="E28" s="62">
        <f t="shared" si="1"/>
        <v>400</v>
      </c>
      <c r="F28" s="109">
        <v>600</v>
      </c>
      <c r="G28" s="110">
        <v>0</v>
      </c>
      <c r="H28" s="59">
        <f t="shared" si="2"/>
        <v>0</v>
      </c>
      <c r="I28" s="74">
        <f>Sheet1!M40</f>
        <v>807.6400000000002</v>
      </c>
      <c r="J28" s="60">
        <f t="shared" si="3"/>
        <v>807.6400000000002</v>
      </c>
      <c r="K28" s="113"/>
      <c r="L28" s="67"/>
      <c r="M28" s="13"/>
      <c r="N28" s="13"/>
      <c r="O28" s="43"/>
      <c r="P28" s="44"/>
      <c r="R28" s="45"/>
      <c r="T28" s="45"/>
    </row>
    <row r="29" spans="1:20" ht="12.75">
      <c r="A29" s="69" t="s">
        <v>30</v>
      </c>
      <c r="B29" s="13">
        <f>Sheet1!D41</f>
        <v>8790</v>
      </c>
      <c r="C29" s="13">
        <f t="shared" si="0"/>
        <v>600</v>
      </c>
      <c r="D29" s="59">
        <f>Sheet1!I41</f>
        <v>5363</v>
      </c>
      <c r="E29" s="62">
        <f t="shared" si="1"/>
        <v>400</v>
      </c>
      <c r="F29" s="109">
        <v>600</v>
      </c>
      <c r="G29" s="110">
        <v>0</v>
      </c>
      <c r="H29" s="59">
        <f t="shared" si="2"/>
        <v>0</v>
      </c>
      <c r="I29" s="74">
        <f>Sheet1!M41</f>
        <v>807.6400000000002</v>
      </c>
      <c r="J29" s="60">
        <f t="shared" si="3"/>
        <v>807.6400000000002</v>
      </c>
      <c r="K29" s="113"/>
      <c r="L29" s="67"/>
      <c r="M29" s="13"/>
      <c r="N29" s="13"/>
      <c r="O29" s="43"/>
      <c r="P29" s="44"/>
      <c r="R29" s="45"/>
      <c r="T29" s="45"/>
    </row>
    <row r="30" spans="1:20" ht="12.75">
      <c r="A30" s="69" t="s">
        <v>31</v>
      </c>
      <c r="B30" s="13">
        <f>Sheet1!D42</f>
        <v>8790</v>
      </c>
      <c r="C30" s="13">
        <f t="shared" si="0"/>
        <v>600</v>
      </c>
      <c r="D30" s="59">
        <f>Sheet1!I42</f>
        <v>5363</v>
      </c>
      <c r="E30" s="62">
        <f t="shared" si="1"/>
        <v>400</v>
      </c>
      <c r="F30" s="109">
        <v>600</v>
      </c>
      <c r="G30" s="110">
        <v>0</v>
      </c>
      <c r="H30" s="59">
        <f t="shared" si="2"/>
        <v>0</v>
      </c>
      <c r="I30" s="74">
        <f>Sheet1!M42</f>
        <v>807.6400000000002</v>
      </c>
      <c r="J30" s="60">
        <f t="shared" si="3"/>
        <v>807.6400000000002</v>
      </c>
      <c r="K30" s="113"/>
      <c r="L30" s="67"/>
      <c r="M30" s="13"/>
      <c r="N30" s="13"/>
      <c r="O30" s="43"/>
      <c r="P30" s="44"/>
      <c r="R30" s="45"/>
      <c r="T30" s="45"/>
    </row>
    <row r="31" spans="1:20" ht="12.75">
      <c r="A31" s="69" t="s">
        <v>8</v>
      </c>
      <c r="B31" s="13">
        <f>Sheet1!D43</f>
        <v>8790</v>
      </c>
      <c r="C31" s="13">
        <f t="shared" si="0"/>
        <v>600</v>
      </c>
      <c r="D31" s="59">
        <f>Sheet1!I43</f>
        <v>5363</v>
      </c>
      <c r="E31" s="62">
        <f t="shared" si="1"/>
        <v>400</v>
      </c>
      <c r="F31" s="109">
        <v>600</v>
      </c>
      <c r="G31" s="110">
        <v>0</v>
      </c>
      <c r="H31" s="59">
        <f t="shared" si="2"/>
        <v>0</v>
      </c>
      <c r="I31" s="74">
        <f>Sheet1!M43</f>
        <v>784.3199999999997</v>
      </c>
      <c r="J31" s="60">
        <f t="shared" si="3"/>
        <v>784.3199999999997</v>
      </c>
      <c r="K31" s="113"/>
      <c r="L31" s="67"/>
      <c r="M31" s="13"/>
      <c r="N31" s="13"/>
      <c r="O31" s="43"/>
      <c r="P31" s="44"/>
      <c r="R31" s="45"/>
      <c r="T31" s="45"/>
    </row>
    <row r="32" spans="1:20" ht="12.75">
      <c r="A32" s="69" t="s">
        <v>32</v>
      </c>
      <c r="B32" s="13">
        <f>Sheet1!D44</f>
        <v>8790</v>
      </c>
      <c r="C32" s="13">
        <f t="shared" si="0"/>
        <v>600</v>
      </c>
      <c r="D32" s="59">
        <f>Sheet1!I44</f>
        <v>5363</v>
      </c>
      <c r="E32" s="62">
        <f t="shared" si="1"/>
        <v>400</v>
      </c>
      <c r="F32" s="109">
        <v>600</v>
      </c>
      <c r="G32" s="110">
        <v>0</v>
      </c>
      <c r="H32" s="59">
        <f t="shared" si="2"/>
        <v>0</v>
      </c>
      <c r="I32" s="74">
        <f>Sheet1!M44</f>
        <v>784.3199999999997</v>
      </c>
      <c r="J32" s="60">
        <f t="shared" si="3"/>
        <v>784.3199999999997</v>
      </c>
      <c r="K32" s="113"/>
      <c r="L32" s="67"/>
      <c r="M32" s="13"/>
      <c r="N32" s="13"/>
      <c r="O32" s="43"/>
      <c r="P32" s="44"/>
      <c r="R32" s="45"/>
      <c r="T32" s="45"/>
    </row>
    <row r="33" spans="1:20" ht="12.75">
      <c r="A33" s="69" t="s">
        <v>33</v>
      </c>
      <c r="B33" s="13">
        <f>Sheet1!D45</f>
        <v>8790</v>
      </c>
      <c r="C33" s="13">
        <f t="shared" si="0"/>
        <v>600</v>
      </c>
      <c r="D33" s="59">
        <f>Sheet1!I45</f>
        <v>5363</v>
      </c>
      <c r="E33" s="62">
        <f t="shared" si="1"/>
        <v>400</v>
      </c>
      <c r="F33" s="109">
        <v>600</v>
      </c>
      <c r="G33" s="110">
        <v>0</v>
      </c>
      <c r="H33" s="59">
        <f t="shared" si="2"/>
        <v>0</v>
      </c>
      <c r="I33" s="74">
        <f>Sheet1!M45</f>
        <v>784.3199999999997</v>
      </c>
      <c r="J33" s="60">
        <f t="shared" si="3"/>
        <v>784.3199999999997</v>
      </c>
      <c r="K33" s="113"/>
      <c r="L33" s="67"/>
      <c r="M33" s="13"/>
      <c r="N33" s="13"/>
      <c r="O33" s="43"/>
      <c r="P33" s="44"/>
      <c r="R33" s="45"/>
      <c r="T33" s="45"/>
    </row>
    <row r="34" spans="1:20" ht="12.75">
      <c r="A34" s="69" t="s">
        <v>49</v>
      </c>
      <c r="B34" s="13">
        <f>Sheet1!D46</f>
        <v>8790</v>
      </c>
      <c r="C34" s="13">
        <f t="shared" si="0"/>
        <v>600</v>
      </c>
      <c r="D34" s="59">
        <f>Sheet1!I46</f>
        <v>5363</v>
      </c>
      <c r="E34" s="62">
        <f t="shared" si="1"/>
        <v>400</v>
      </c>
      <c r="F34" s="109">
        <v>600</v>
      </c>
      <c r="G34" s="110">
        <v>0</v>
      </c>
      <c r="H34" s="59">
        <f t="shared" si="2"/>
        <v>0</v>
      </c>
      <c r="I34" s="74">
        <f>Sheet1!M46</f>
        <v>784.3199999999997</v>
      </c>
      <c r="J34" s="60">
        <f t="shared" si="3"/>
        <v>784.3199999999997</v>
      </c>
      <c r="K34" s="113"/>
      <c r="L34" s="67"/>
      <c r="M34" s="13"/>
      <c r="N34" s="13"/>
      <c r="O34" s="43"/>
      <c r="P34" s="44"/>
      <c r="R34" s="45"/>
      <c r="T34" s="45"/>
    </row>
    <row r="35" spans="1:20" ht="12.75">
      <c r="A35" s="69" t="s">
        <v>40</v>
      </c>
      <c r="B35" s="13">
        <f>Sheet1!D47</f>
        <v>8790</v>
      </c>
      <c r="C35" s="13">
        <f t="shared" si="0"/>
        <v>600</v>
      </c>
      <c r="D35" s="59">
        <f>Sheet1!I47</f>
        <v>5363</v>
      </c>
      <c r="E35" s="62">
        <f t="shared" si="1"/>
        <v>400</v>
      </c>
      <c r="F35" s="109">
        <v>600</v>
      </c>
      <c r="G35" s="110">
        <v>0</v>
      </c>
      <c r="H35" s="59">
        <f t="shared" si="2"/>
        <v>0</v>
      </c>
      <c r="I35" s="74">
        <f>Sheet1!M47</f>
        <v>784.3199999999997</v>
      </c>
      <c r="J35" s="60">
        <f t="shared" si="3"/>
        <v>784.3199999999997</v>
      </c>
      <c r="K35" s="113"/>
      <c r="L35" s="67"/>
      <c r="M35" s="13"/>
      <c r="N35" s="13"/>
      <c r="O35" s="43"/>
      <c r="P35" s="44"/>
      <c r="R35" s="45"/>
      <c r="T35" s="45"/>
    </row>
    <row r="36" spans="1:20" ht="12.75">
      <c r="A36" s="69" t="s">
        <v>54</v>
      </c>
      <c r="B36" s="13">
        <f>Sheet1!D48</f>
        <v>8790</v>
      </c>
      <c r="C36" s="13">
        <f t="shared" si="0"/>
        <v>600</v>
      </c>
      <c r="D36" s="59">
        <f>Sheet1!I48</f>
        <v>5363</v>
      </c>
      <c r="E36" s="62">
        <f t="shared" si="1"/>
        <v>400</v>
      </c>
      <c r="F36" s="109">
        <v>600</v>
      </c>
      <c r="G36" s="110">
        <v>0</v>
      </c>
      <c r="H36" s="59">
        <f t="shared" si="2"/>
        <v>0</v>
      </c>
      <c r="I36" s="74">
        <f>Sheet1!M48</f>
        <v>784.3199999999997</v>
      </c>
      <c r="J36" s="60">
        <f t="shared" si="3"/>
        <v>784.3199999999997</v>
      </c>
      <c r="K36" s="113"/>
      <c r="L36" s="67"/>
      <c r="M36" s="13"/>
      <c r="N36" s="13"/>
      <c r="O36" s="43"/>
      <c r="P36" s="44"/>
      <c r="R36" s="45"/>
      <c r="T36" s="45"/>
    </row>
    <row r="37" spans="1:20" ht="12.75">
      <c r="A37" s="69" t="s">
        <v>55</v>
      </c>
      <c r="B37" s="13">
        <f>Sheet1!D49</f>
        <v>9060</v>
      </c>
      <c r="C37" s="13">
        <f t="shared" si="0"/>
        <v>600</v>
      </c>
      <c r="D37" s="59">
        <f>Sheet1!I49</f>
        <v>5363</v>
      </c>
      <c r="E37" s="62">
        <f t="shared" si="1"/>
        <v>400</v>
      </c>
      <c r="F37" s="109">
        <v>600</v>
      </c>
      <c r="G37" s="110">
        <v>0</v>
      </c>
      <c r="H37" s="59">
        <f t="shared" si="2"/>
        <v>0</v>
      </c>
      <c r="I37" s="74">
        <f>Sheet1!M49</f>
        <v>1050.2400000000002</v>
      </c>
      <c r="J37" s="60">
        <f t="shared" si="3"/>
        <v>1050.2400000000002</v>
      </c>
      <c r="K37" s="113"/>
      <c r="L37" s="67"/>
      <c r="M37" s="13"/>
      <c r="N37" s="13"/>
      <c r="O37" s="43"/>
      <c r="P37" s="44"/>
      <c r="R37" s="45"/>
      <c r="T37" s="45"/>
    </row>
    <row r="38" spans="1:20" ht="13.5" thickBot="1">
      <c r="A38" s="70" t="s">
        <v>50</v>
      </c>
      <c r="B38" s="32">
        <f>Sheet1!D50</f>
        <v>9060</v>
      </c>
      <c r="C38" s="32">
        <f t="shared" si="0"/>
        <v>600</v>
      </c>
      <c r="D38" s="71">
        <f>Sheet1!I50</f>
        <v>5475</v>
      </c>
      <c r="E38" s="72">
        <f t="shared" si="1"/>
        <v>400</v>
      </c>
      <c r="F38" s="111">
        <v>600</v>
      </c>
      <c r="G38" s="110">
        <v>0</v>
      </c>
      <c r="H38" s="73">
        <f t="shared" si="2"/>
        <v>0</v>
      </c>
      <c r="I38" s="74">
        <f>Sheet1!M50</f>
        <v>984.6400000000002</v>
      </c>
      <c r="J38" s="60">
        <f t="shared" si="3"/>
        <v>984.6400000000002</v>
      </c>
      <c r="K38" s="114"/>
      <c r="L38" s="67"/>
      <c r="M38" s="13"/>
      <c r="N38" s="13"/>
      <c r="O38" s="43"/>
      <c r="P38" s="44"/>
      <c r="R38" s="45"/>
      <c r="T38" s="45"/>
    </row>
    <row r="39" spans="1:11" ht="13.5" thickBot="1">
      <c r="A39" s="92"/>
      <c r="B39" s="93"/>
      <c r="C39" s="93"/>
      <c r="D39" s="93"/>
      <c r="E39" s="93"/>
      <c r="F39" s="115">
        <f>SUM(F7:F38)</f>
        <v>19900</v>
      </c>
      <c r="G39" s="115">
        <f>SUM(G7:G38)</f>
        <v>0</v>
      </c>
      <c r="H39" s="94">
        <f>SUM(H7:H38)</f>
        <v>0</v>
      </c>
      <c r="I39" s="94">
        <f>SUM(I7:I38)</f>
        <v>25605.2</v>
      </c>
      <c r="J39" s="94">
        <f>SUM(J7:J38)</f>
        <v>25605.2</v>
      </c>
      <c r="K39" s="95"/>
    </row>
    <row r="40" spans="1:11" ht="14.25" thickBot="1" thickTop="1">
      <c r="A40" s="163" t="s">
        <v>84</v>
      </c>
      <c r="B40" s="164"/>
      <c r="C40" s="165"/>
      <c r="D40" s="96" t="s">
        <v>17</v>
      </c>
      <c r="E40" s="96" t="s">
        <v>80</v>
      </c>
      <c r="F40" s="93"/>
      <c r="G40" s="93"/>
      <c r="H40" s="93"/>
      <c r="I40" s="93"/>
      <c r="J40" s="93"/>
      <c r="K40" s="95"/>
    </row>
    <row r="41" spans="1:11" ht="13.5" thickBot="1">
      <c r="A41" s="97" t="s">
        <v>76</v>
      </c>
      <c r="B41" s="191" t="s">
        <v>85</v>
      </c>
      <c r="C41" s="192"/>
      <c r="D41" s="98">
        <f>SUM(I7:I8)</f>
        <v>1527.2</v>
      </c>
      <c r="E41" s="99">
        <f>SUM(H7:H8)</f>
        <v>0</v>
      </c>
      <c r="F41" s="93"/>
      <c r="G41" s="93"/>
      <c r="H41" s="93"/>
      <c r="I41" s="93"/>
      <c r="J41" s="93"/>
      <c r="K41" s="95"/>
    </row>
    <row r="42" spans="1:11" ht="13.5" thickBot="1">
      <c r="A42" s="100" t="s">
        <v>77</v>
      </c>
      <c r="B42" s="191" t="s">
        <v>86</v>
      </c>
      <c r="C42" s="192"/>
      <c r="D42" s="101">
        <f>SUM(I9:I20)</f>
        <v>9301.68</v>
      </c>
      <c r="E42" s="102">
        <f>SUM(H9:H20)</f>
        <v>0</v>
      </c>
      <c r="F42" s="93"/>
      <c r="G42" s="93"/>
      <c r="H42" s="93"/>
      <c r="I42" s="93"/>
      <c r="J42" s="93"/>
      <c r="K42" s="95"/>
    </row>
    <row r="43" spans="1:11" ht="13.5" thickBot="1">
      <c r="A43" s="100" t="s">
        <v>78</v>
      </c>
      <c r="B43" s="191" t="s">
        <v>87</v>
      </c>
      <c r="C43" s="192"/>
      <c r="D43" s="101">
        <f>SUM(I21:I32)</f>
        <v>9604.16</v>
      </c>
      <c r="E43" s="102">
        <f>SUM(H21:H32)</f>
        <v>0</v>
      </c>
      <c r="F43" s="93"/>
      <c r="G43" s="93"/>
      <c r="H43" s="93"/>
      <c r="I43" s="93"/>
      <c r="J43" s="93"/>
      <c r="K43" s="95"/>
    </row>
    <row r="44" spans="1:11" ht="13.5" thickBot="1">
      <c r="A44" s="100" t="s">
        <v>79</v>
      </c>
      <c r="B44" s="191" t="s">
        <v>88</v>
      </c>
      <c r="C44" s="192"/>
      <c r="D44" s="101">
        <f>SUM(I33:I38)</f>
        <v>5172.159999999999</v>
      </c>
      <c r="E44" s="103">
        <f>SUM(H33:H38)</f>
        <v>0</v>
      </c>
      <c r="F44" s="93"/>
      <c r="G44" s="93"/>
      <c r="H44" s="93"/>
      <c r="I44" s="93"/>
      <c r="J44" s="93"/>
      <c r="K44" s="95"/>
    </row>
    <row r="45" spans="1:11" ht="13.5" thickBot="1">
      <c r="A45" s="104" t="s">
        <v>11</v>
      </c>
      <c r="B45" s="189" t="s">
        <v>89</v>
      </c>
      <c r="C45" s="190"/>
      <c r="D45" s="105">
        <f>SUM(D41:D44)</f>
        <v>25605.2</v>
      </c>
      <c r="E45" s="106">
        <f>SUM(E41:E44)</f>
        <v>0</v>
      </c>
      <c r="F45" s="107"/>
      <c r="G45" s="107"/>
      <c r="H45" s="107"/>
      <c r="I45" s="107"/>
      <c r="J45" s="107"/>
      <c r="K45" s="108"/>
    </row>
    <row r="46" spans="6:7" ht="12.75">
      <c r="F46" s="2"/>
      <c r="G46" s="2"/>
    </row>
    <row r="47" spans="6:7" ht="12.75">
      <c r="F47" s="2"/>
      <c r="G47" s="2"/>
    </row>
  </sheetData>
  <sheetProtection sheet="1" objects="1" scenarios="1"/>
  <mergeCells count="19">
    <mergeCell ref="B45:C45"/>
    <mergeCell ref="B41:C41"/>
    <mergeCell ref="B42:C42"/>
    <mergeCell ref="B43:C43"/>
    <mergeCell ref="B44:C44"/>
    <mergeCell ref="E2:H2"/>
    <mergeCell ref="K3:K6"/>
    <mergeCell ref="I3:I6"/>
    <mergeCell ref="J3:J6"/>
    <mergeCell ref="A40:C40"/>
    <mergeCell ref="A1:K1"/>
    <mergeCell ref="A3:A6"/>
    <mergeCell ref="B3:B6"/>
    <mergeCell ref="C3:C6"/>
    <mergeCell ref="E3:E6"/>
    <mergeCell ref="H3:H6"/>
    <mergeCell ref="F3:F6"/>
    <mergeCell ref="G3:G6"/>
    <mergeCell ref="D3:D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P4</cp:lastModifiedBy>
  <dcterms:created xsi:type="dcterms:W3CDTF">2008-04-02T15:26:10Z</dcterms:created>
  <dcterms:modified xsi:type="dcterms:W3CDTF">2008-09-25T15:40:56Z</dcterms:modified>
  <cp:category/>
  <cp:version/>
  <cp:contentType/>
  <cp:contentStatus/>
</cp:coreProperties>
</file>